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MEN\для меня\Для РЭК\Тарифы 2024\ЭТК\Информация для размещения\"/>
    </mc:Choice>
  </mc:AlternateContent>
  <xr:revisionPtr revIDLastSave="0" documentId="8_{21C3D28E-1FD7-4B47-8828-867732CF76A1}" xr6:coauthVersionLast="47" xr6:coauthVersionMax="47" xr10:uidLastSave="{00000000-0000-0000-0000-000000000000}"/>
  <bookViews>
    <workbookView xWindow="-120" yWindow="-120" windowWidth="29040" windowHeight="15840" xr2:uid="{F3EC8023-7230-45F9-BA53-7AE1F49CD7FA}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Лист1!$A$1:$H$104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1" l="1"/>
  <c r="D103" i="1"/>
  <c r="H102" i="1"/>
  <c r="H101" i="1"/>
  <c r="H103" i="1" s="1"/>
  <c r="H100" i="1"/>
  <c r="H99" i="1"/>
  <c r="H97" i="1"/>
  <c r="G97" i="1"/>
  <c r="H96" i="1"/>
  <c r="G96" i="1"/>
  <c r="H91" i="1"/>
  <c r="B91" i="1"/>
  <c r="H90" i="1"/>
  <c r="G90" i="1"/>
  <c r="E88" i="1"/>
  <c r="D88" i="1"/>
  <c r="G81" i="1"/>
  <c r="G79" i="1" s="1"/>
  <c r="F79" i="1"/>
  <c r="E79" i="1"/>
  <c r="D79" i="1"/>
  <c r="H77" i="1"/>
  <c r="D77" i="1"/>
  <c r="G76" i="1"/>
  <c r="F76" i="1"/>
  <c r="E76" i="1"/>
  <c r="D76" i="1"/>
  <c r="H75" i="1"/>
  <c r="G75" i="1"/>
  <c r="H74" i="1"/>
  <c r="H73" i="1" s="1"/>
  <c r="G74" i="1"/>
  <c r="G73" i="1" s="1"/>
  <c r="F73" i="1"/>
  <c r="E73" i="1"/>
  <c r="E92" i="1" s="1"/>
  <c r="D73" i="1"/>
  <c r="E69" i="1"/>
  <c r="D69" i="1"/>
  <c r="F66" i="1"/>
  <c r="E66" i="1"/>
  <c r="D66" i="1"/>
  <c r="F57" i="1"/>
  <c r="E57" i="1"/>
  <c r="D57" i="1"/>
  <c r="F51" i="1"/>
  <c r="E51" i="1"/>
  <c r="D51" i="1"/>
  <c r="F47" i="1"/>
  <c r="E47" i="1"/>
  <c r="E41" i="1" s="1"/>
  <c r="E37" i="1" s="1"/>
  <c r="D47" i="1"/>
  <c r="F43" i="1"/>
  <c r="E43" i="1"/>
  <c r="D43" i="1"/>
  <c r="D41" i="1" s="1"/>
  <c r="D37" i="1" s="1"/>
  <c r="F41" i="1"/>
  <c r="F37" i="1" s="1"/>
  <c r="F71" i="1" s="1"/>
  <c r="F38" i="1"/>
  <c r="E38" i="1"/>
  <c r="D38" i="1"/>
  <c r="F36" i="1"/>
  <c r="E36" i="1"/>
  <c r="G35" i="1"/>
  <c r="D34" i="1"/>
  <c r="F33" i="1"/>
  <c r="E33" i="1"/>
  <c r="G32" i="1"/>
  <c r="D31" i="1"/>
  <c r="F30" i="1"/>
  <c r="E30" i="1"/>
  <c r="G29" i="1"/>
  <c r="D28" i="1"/>
  <c r="D27" i="1" s="1"/>
  <c r="D84" i="1" s="1"/>
  <c r="F27" i="1"/>
  <c r="F84" i="1" s="1"/>
  <c r="E27" i="1"/>
  <c r="F25" i="1"/>
  <c r="E25" i="1"/>
  <c r="D25" i="1"/>
  <c r="D24" i="1" s="1"/>
  <c r="D71" i="1" s="1"/>
  <c r="F24" i="1"/>
  <c r="E24" i="1"/>
  <c r="F17" i="1"/>
  <c r="H16" i="1"/>
  <c r="H17" i="1" s="1"/>
  <c r="G16" i="1"/>
  <c r="F16" i="1"/>
  <c r="E16" i="1"/>
  <c r="D16" i="1"/>
  <c r="D17" i="1" s="1"/>
  <c r="G14" i="1"/>
  <c r="G17" i="1" s="1"/>
  <c r="F14" i="1"/>
  <c r="E14" i="1"/>
  <c r="E17" i="1" s="1"/>
  <c r="G64" i="1" l="1"/>
  <c r="H64" i="1" s="1"/>
  <c r="G62" i="1"/>
  <c r="H62" i="1" s="1"/>
  <c r="G60" i="1"/>
  <c r="H60" i="1" s="1"/>
  <c r="G58" i="1"/>
  <c r="G49" i="1"/>
  <c r="H49" i="1" s="1"/>
  <c r="G42" i="1"/>
  <c r="G65" i="1"/>
  <c r="H65" i="1" s="1"/>
  <c r="G59" i="1"/>
  <c r="H59" i="1" s="1"/>
  <c r="G48" i="1"/>
  <c r="G34" i="1"/>
  <c r="G36" i="1" s="1"/>
  <c r="G31" i="1"/>
  <c r="G33" i="1" s="1"/>
  <c r="G67" i="1"/>
  <c r="G40" i="1"/>
  <c r="H40" i="1" s="1"/>
  <c r="G68" i="1"/>
  <c r="H68" i="1" s="1"/>
  <c r="G55" i="1"/>
  <c r="H55" i="1" s="1"/>
  <c r="G53" i="1"/>
  <c r="H53" i="1" s="1"/>
  <c r="G46" i="1"/>
  <c r="H46" i="1" s="1"/>
  <c r="G44" i="1"/>
  <c r="G39" i="1"/>
  <c r="G63" i="1"/>
  <c r="H63" i="1" s="1"/>
  <c r="G50" i="1"/>
  <c r="H50" i="1" s="1"/>
  <c r="G28" i="1"/>
  <c r="G56" i="1"/>
  <c r="H56" i="1" s="1"/>
  <c r="G52" i="1"/>
  <c r="G45" i="1"/>
  <c r="H45" i="1" s="1"/>
  <c r="G61" i="1"/>
  <c r="H61" i="1" s="1"/>
  <c r="G26" i="1"/>
  <c r="G70" i="1"/>
  <c r="G54" i="1"/>
  <c r="H54" i="1" s="1"/>
  <c r="F92" i="1"/>
  <c r="F93" i="1" s="1"/>
  <c r="F98" i="1" s="1"/>
  <c r="F104" i="1" s="1"/>
  <c r="H34" i="1"/>
  <c r="H36" i="1" s="1"/>
  <c r="H31" i="1"/>
  <c r="H33" i="1" s="1"/>
  <c r="H28" i="1"/>
  <c r="D93" i="1"/>
  <c r="D98" i="1" s="1"/>
  <c r="D104" i="1" s="1"/>
  <c r="E71" i="1"/>
  <c r="E93" i="1" s="1"/>
  <c r="E98" i="1" s="1"/>
  <c r="E104" i="1" s="1"/>
  <c r="D92" i="1"/>
  <c r="G69" i="1" l="1"/>
  <c r="H70" i="1"/>
  <c r="H69" i="1" s="1"/>
  <c r="G66" i="1"/>
  <c r="H67" i="1"/>
  <c r="H66" i="1" s="1"/>
  <c r="G57" i="1"/>
  <c r="H58" i="1"/>
  <c r="H57" i="1" s="1"/>
  <c r="H30" i="1"/>
  <c r="H27" i="1"/>
  <c r="H84" i="1" s="1"/>
  <c r="G30" i="1"/>
  <c r="G27" i="1"/>
  <c r="G84" i="1" s="1"/>
  <c r="G92" i="1" s="1"/>
  <c r="H44" i="1"/>
  <c r="G43" i="1"/>
  <c r="H43" i="1" s="1"/>
  <c r="H42" i="1"/>
  <c r="H52" i="1"/>
  <c r="G51" i="1"/>
  <c r="H51" i="1" s="1"/>
  <c r="G25" i="1"/>
  <c r="G24" i="1" s="1"/>
  <c r="H26" i="1"/>
  <c r="H25" i="1" s="1"/>
  <c r="H24" i="1" s="1"/>
  <c r="H39" i="1"/>
  <c r="H38" i="1" s="1"/>
  <c r="G38" i="1"/>
  <c r="G47" i="1"/>
  <c r="H47" i="1" s="1"/>
  <c r="H48" i="1"/>
  <c r="H41" i="1" l="1"/>
  <c r="H37" i="1"/>
  <c r="H71" i="1" s="1"/>
  <c r="G41" i="1"/>
  <c r="G37" i="1" s="1"/>
  <c r="G71" i="1" s="1"/>
  <c r="G93" i="1" s="1"/>
  <c r="G98" i="1" l="1"/>
  <c r="G104" i="1" s="1"/>
  <c r="I93" i="1"/>
  <c r="H76" i="1" l="1"/>
  <c r="H78" i="1"/>
  <c r="H79" i="1"/>
  <c r="H81" i="1"/>
  <c r="H82" i="1"/>
  <c r="H83" i="1"/>
  <c r="H92" i="1"/>
  <c r="H93" i="1"/>
  <c r="J93" i="1"/>
  <c r="H98" i="1"/>
  <c r="H1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Колышницына Наталья Владимировна</author>
  </authors>
  <commentList>
    <comment ref="H27" authorId="0" shapeId="0" xr:uid="{863707F8-E7F5-45D8-A73B-E904E7DD64B0}">
      <text>
        <r>
          <rPr>
            <b/>
            <sz val="9"/>
            <color indexed="81"/>
            <rFont val="Tahoma"/>
            <family val="2"/>
            <charset val="204"/>
          </rPr>
          <t>Колышницына Наталья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с учетом фот по решению суда</t>
        </r>
      </text>
    </comment>
  </commentList>
</comments>
</file>

<file path=xl/sharedStrings.xml><?xml version="1.0" encoding="utf-8"?>
<sst xmlns="http://schemas.openxmlformats.org/spreadsheetml/2006/main" count="252" uniqueCount="170">
  <si>
    <t>Калькуляция расходов, связанных с передачей электроэнергии по сетям ООО "Электротехнический комплекс" на 2020-2024 годы</t>
  </si>
  <si>
    <t xml:space="preserve">Значения параметров расчета тарифов </t>
  </si>
  <si>
    <t xml:space="preserve"> № п/п</t>
  </si>
  <si>
    <t>Показатели</t>
  </si>
  <si>
    <t>Ед. изм.</t>
  </si>
  <si>
    <t>2020
(базовый уровень)</t>
  </si>
  <si>
    <t>2021
утверждено</t>
  </si>
  <si>
    <t>2022
утверждено</t>
  </si>
  <si>
    <t>2023
утверждено</t>
  </si>
  <si>
    <t>2024 план</t>
  </si>
  <si>
    <t>Долгосрочные параметры (не меняются в течение долгосрочного периода регулирования)</t>
  </si>
  <si>
    <t>Индекс эффективности операционных расходов</t>
  </si>
  <si>
    <t>Коэффициент эластичности подконтрольных расходов по количеству активов</t>
  </si>
  <si>
    <t>Величина технологического расхода (потерь) электрической энергии</t>
  </si>
  <si>
    <t>%</t>
  </si>
  <si>
    <t>Максимальный процент корректировки НВВ (Пкорi)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</si>
  <si>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</si>
  <si>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</si>
  <si>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</si>
  <si>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</si>
  <si>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Индекс изменения количества активов</t>
  </si>
  <si>
    <t>Итого коэффициент индексации</t>
  </si>
  <si>
    <t>Расчет подконтрольных и неподконтрольных расходов</t>
  </si>
  <si>
    <t>2020
утверждено</t>
  </si>
  <si>
    <t>2023
принято</t>
  </si>
  <si>
    <t>1.</t>
  </si>
  <si>
    <t>Подконтрольные расходы</t>
  </si>
  <si>
    <t>1.1</t>
  </si>
  <si>
    <t>Материальные затраты</t>
  </si>
  <si>
    <t>тыс.руб.</t>
  </si>
  <si>
    <t>1.1.1</t>
  </si>
  <si>
    <t>Сырье, материалы, запасные части, инструменты</t>
  </si>
  <si>
    <t>Канцелярские расходы, подписка и литература</t>
  </si>
  <si>
    <t>1.2</t>
  </si>
  <si>
    <t>Расходы на оплату труда</t>
  </si>
  <si>
    <t>1.2.1</t>
  </si>
  <si>
    <t>ФОТ Производственного персонала</t>
  </si>
  <si>
    <t>Численность ПП</t>
  </si>
  <si>
    <t>чел.</t>
  </si>
  <si>
    <t>Средняя заработная плата ПП</t>
  </si>
  <si>
    <t>руб.</t>
  </si>
  <si>
    <t>1.2.2</t>
  </si>
  <si>
    <t>ФОТ Общехозяйственного персонала</t>
  </si>
  <si>
    <t>Численность ОХР</t>
  </si>
  <si>
    <t>Средняя заработная плата ОХР</t>
  </si>
  <si>
    <t>1.2.3</t>
  </si>
  <si>
    <t>ФОТ Цехового персонала</t>
  </si>
  <si>
    <t>Численность ЦП</t>
  </si>
  <si>
    <t>Средняя заработная плата ЦП</t>
  </si>
  <si>
    <t>1.3</t>
  </si>
  <si>
    <t>Прочие расходы, всего, в том числе:</t>
  </si>
  <si>
    <t>1.3.1</t>
  </si>
  <si>
    <t>Ремонт основных фондов</t>
  </si>
  <si>
    <t>1.3.1.1</t>
  </si>
  <si>
    <t>сырье, материалы, запасные части</t>
  </si>
  <si>
    <t>1.3.1.2</t>
  </si>
  <si>
    <t xml:space="preserve">услуги сторонних ремонтных организаций 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</si>
  <si>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</si>
  <si>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</si>
  <si>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</si>
  <si>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</si>
  <si>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</si>
  <si>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</si>
  <si>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1.3.2.2.1</t>
  </si>
  <si>
    <t>услуги пожарной и вневедомственной охраны</t>
  </si>
  <si>
    <t>1.3.2.2.2</t>
  </si>
  <si>
    <t>прочие коммунальные услуги</t>
  </si>
  <si>
    <t>1.3.2.2.3</t>
  </si>
  <si>
    <t>прочие затраты на содержание зданий</t>
  </si>
  <si>
    <t>1.3.2.3</t>
  </si>
  <si>
    <t>расходы на юридические и информационные услуги</t>
  </si>
  <si>
    <t>1.3.2.3.1</t>
  </si>
  <si>
    <t>юридические услуги</t>
  </si>
  <si>
    <t>1.3.2.3.2</t>
  </si>
  <si>
    <t>информационные услуги</t>
  </si>
  <si>
    <t>1.3.2.4</t>
  </si>
  <si>
    <t>расходы на аудиторские и консультационные услуги</t>
  </si>
  <si>
    <t>1.3.2.5</t>
  </si>
  <si>
    <t>прочие услуги сторонних организаций</t>
  </si>
  <si>
    <t>1.3.2.5.1</t>
  </si>
  <si>
    <t>содержание и ремонт компьютерной и офисной техники</t>
  </si>
  <si>
    <t>1.3.2.5.2</t>
  </si>
  <si>
    <t>обслуживание транспорта (техосмотр, техобслуживание, шиномонтаж, проч расх по экспл.)</t>
  </si>
  <si>
    <t>1.3.2.5.3</t>
  </si>
  <si>
    <t>прочие расходы</t>
  </si>
  <si>
    <t>1.3.3</t>
  </si>
  <si>
    <t xml:space="preserve">Расходы на командировки 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</si>
  <si>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</si>
  <si>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</si>
  <si>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</si>
  <si>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</si>
  <si>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1.3.5.1</t>
  </si>
  <si>
    <t xml:space="preserve">предрейсовый медосмотр </t>
  </si>
  <si>
    <t>1.3.5.2</t>
  </si>
  <si>
    <t>медосмотры</t>
  </si>
  <si>
    <t>1.3.5.3</t>
  </si>
  <si>
    <t>спецодежда, спецобувь и средства защиты</t>
  </si>
  <si>
    <t>1.3.5.4</t>
  </si>
  <si>
    <t>производственный контроль 65 точек (59-рабочие места основных рабочих, 6- рабочие места общехоз.рабочих)</t>
  </si>
  <si>
    <t>1.3.5.5</t>
  </si>
  <si>
    <t>специальная оценка условий труда (оформление и проведение замеров  вредных производственных факторов)</t>
  </si>
  <si>
    <t>1.3.5.6</t>
  </si>
  <si>
    <t>1.3.6</t>
  </si>
  <si>
    <t xml:space="preserve">Расходы на страхование </t>
  </si>
  <si>
    <t>1.3.7</t>
  </si>
  <si>
    <t xml:space="preserve">Электроэнергия на хоз. технологические нужды </t>
  </si>
  <si>
    <t>1.3.8</t>
  </si>
  <si>
    <t>Другие прочие расходы</t>
  </si>
  <si>
    <t>1.3.8.1</t>
  </si>
  <si>
    <t>услуги банка</t>
  </si>
  <si>
    <t>1.3.8.2</t>
  </si>
  <si>
    <t xml:space="preserve">прочие услуги </t>
  </si>
  <si>
    <t>1.3.9</t>
  </si>
  <si>
    <t>Подконтрольные расходы из прибыли</t>
  </si>
  <si>
    <t>1.3.9.1</t>
  </si>
  <si>
    <t>расходы социального характера из прибыли</t>
  </si>
  <si>
    <t>ИТОГО подконтрольные расходы</t>
  </si>
  <si>
    <t>2.</t>
  </si>
  <si>
    <t>Неподконтрольные расходы</t>
  </si>
  <si>
    <t>2.1</t>
  </si>
  <si>
    <t>Плата за аренду имущества и лизинг</t>
  </si>
  <si>
    <t>2.1.1.</t>
  </si>
  <si>
    <t>аренда имущества (ОРУ, ЗРУ)</t>
  </si>
  <si>
    <t>2.1.2.</t>
  </si>
  <si>
    <t>прочие</t>
  </si>
  <si>
    <t>2.2</t>
  </si>
  <si>
    <t>Амортизация</t>
  </si>
  <si>
    <t>2.2.1</t>
  </si>
  <si>
    <t>ОПФ</t>
  </si>
  <si>
    <t>2.2.2</t>
  </si>
  <si>
    <t xml:space="preserve">прочая </t>
  </si>
  <si>
    <t>2.3</t>
  </si>
  <si>
    <t>Налоги</t>
  </si>
  <si>
    <t>2.3.1</t>
  </si>
  <si>
    <t>Налог на прибыль</t>
  </si>
  <si>
    <t>Плата за землю</t>
  </si>
  <si>
    <t>2.3.2</t>
  </si>
  <si>
    <t>Налог на имущество</t>
  </si>
  <si>
    <t>2.3.3</t>
  </si>
  <si>
    <t>Прочие налоги и сборы (транспортный налог)</t>
  </si>
  <si>
    <t>2.4</t>
  </si>
  <si>
    <t>Страховые взносы на ФОТ</t>
  </si>
  <si>
    <t>2.4.1</t>
  </si>
  <si>
    <t>Размер страховых взносов</t>
  </si>
  <si>
    <t>2.5</t>
  </si>
  <si>
    <t>Прочие неподконтрольные расходы</t>
  </si>
  <si>
    <t>2.6</t>
  </si>
  <si>
    <t>Выпадающие доходы/экономия средств по п. 87 Основ ценообразования</t>
  </si>
  <si>
    <t>2.7</t>
  </si>
  <si>
    <t>Прибыль на капитальные вложения</t>
  </si>
  <si>
    <t>2.8</t>
  </si>
  <si>
    <t>Проценты по кредитам</t>
  </si>
  <si>
    <t xml:space="preserve">Резерв по сомнительным долгам </t>
  </si>
  <si>
    <t>2.9</t>
  </si>
  <si>
    <t>ИТОГО неподконтрольные расходы</t>
  </si>
  <si>
    <t>ИТОГО расходов на содержание сетей</t>
  </si>
  <si>
    <t>Расходы, связанные с компенсацией незапланированных расходов</t>
  </si>
  <si>
    <t>Выпадающие доходы/экономия средств по итогам предыдущих периодов</t>
  </si>
  <si>
    <t>Расходы долгосрочного периода регулирования, связанные с компенсацией незапланированных расходов (со знаком «+») или полученного избытка (со знаком «-»), выявленных по итогам последнего истекшего года долгосрочного периода регулирования Вi</t>
  </si>
  <si>
    <t>Корректировка с учетом надежности и качества</t>
  </si>
  <si>
    <t>ИТОГО НВВ на содержание сетей с учетом корректировки</t>
  </si>
  <si>
    <t>Полезный отпуск электроэнергии</t>
  </si>
  <si>
    <t>млн. кВт.ч</t>
  </si>
  <si>
    <t xml:space="preserve">Заявленная мощность </t>
  </si>
  <si>
    <t>МВт</t>
  </si>
  <si>
    <t>Объем потерь</t>
  </si>
  <si>
    <t>Средневзвешенный тариф покупки потерь</t>
  </si>
  <si>
    <t>руб./МВт.ч.</t>
  </si>
  <si>
    <t>Расходы на оплату потерь</t>
  </si>
  <si>
    <t>ВСЕГО НВВ на содержание сетей и потери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</si>
</sst>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#,##0.00000"/>
    <numFmt numFmtId="167" formatCode="#,##0.0"/>
    <numFmt numFmtId="168" formatCode="#,##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sz val="11"/>
      <name val="Times New Roman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13" fillId="0" borderId="1" applyBorder="0">
      <alignment horizontal="center" vertical="center" wrapText="1"/>
    </xf>
    <xf numFmtId="9" fontId="1" fillId="0" borderId="0" applyFont="0" applyFill="0" applyBorder="0" applyAlignment="0" applyProtection="0"/>
    <xf numFmtId="0" fontId="2" fillId="0" borderId="0"/>
    <xf numFmtId="4" fontId="14" fillId="2" borderId="0" applyBorder="0">
      <alignment horizontal="right"/>
    </xf>
  </cellStyleXfs>
  <cellXfs count="83">
    <xf numFmtId="0" fontId="0" fillId="0" borderId="0" xfId="0"/>
    <xf numFmtId="0" fontId="3" fillId="0" borderId="0" xfId="1" applyFont="1" applyAlignment="1">
      <alignment horizontal="left" vertical="center"/>
    </xf>
    <xf numFmtId="0" fontId="5" fillId="0" borderId="0" xfId="2" applyFont="1" applyAlignment="1">
      <alignment vertical="center"/>
    </xf>
    <xf numFmtId="0" fontId="7" fillId="0" borderId="0" xfId="3" applyFont="1" applyAlignment="1">
      <alignment horizontal="right" vertical="top" wrapText="1"/>
    </xf>
    <xf numFmtId="0" fontId="8" fillId="0" borderId="0" xfId="2" applyFont="1" applyAlignment="1">
      <alignment vertical="center"/>
    </xf>
    <xf numFmtId="0" fontId="9" fillId="0" borderId="0" xfId="0" applyFont="1" applyAlignment="1">
      <alignment horizontal="left" vertical="top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12" fillId="0" borderId="0" xfId="4" applyFont="1" applyAlignment="1">
      <alignment vertical="center"/>
    </xf>
    <xf numFmtId="0" fontId="11" fillId="0" borderId="0" xfId="4" applyFont="1" applyAlignment="1">
      <alignment horizontal="center" vertical="center" wrapText="1"/>
    </xf>
    <xf numFmtId="0" fontId="5" fillId="0" borderId="0" xfId="4" applyFont="1" applyAlignment="1">
      <alignment vertical="center"/>
    </xf>
    <xf numFmtId="49" fontId="5" fillId="0" borderId="2" xfId="5" applyNumberFormat="1" applyFont="1" applyBorder="1">
      <alignment horizontal="center" vertical="center" wrapText="1"/>
    </xf>
    <xf numFmtId="0" fontId="5" fillId="0" borderId="2" xfId="4" applyFont="1" applyBorder="1" applyAlignment="1">
      <alignment horizontal="center" vertical="center"/>
    </xf>
    <xf numFmtId="0" fontId="5" fillId="0" borderId="2" xfId="5" applyFont="1" applyBorder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0" fillId="0" borderId="3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8" fillId="0" borderId="0" xfId="4" applyFont="1" applyAlignment="1">
      <alignment vertical="center"/>
    </xf>
    <xf numFmtId="0" fontId="5" fillId="0" borderId="2" xfId="4" applyFont="1" applyBorder="1" applyAlignment="1">
      <alignment vertical="center" wrapText="1"/>
    </xf>
    <xf numFmtId="4" fontId="5" fillId="0" borderId="2" xfId="6" applyNumberFormat="1" applyFont="1" applyFill="1" applyBorder="1" applyAlignment="1">
      <alignment horizontal="center" vertical="center"/>
    </xf>
    <xf numFmtId="0" fontId="10" fillId="0" borderId="3" xfId="4" applyFont="1" applyBorder="1" applyAlignment="1">
      <alignment horizontal="left" vertical="center" wrapText="1"/>
    </xf>
    <xf numFmtId="0" fontId="10" fillId="0" borderId="4" xfId="4" applyFont="1" applyBorder="1" applyAlignment="1">
      <alignment horizontal="left" vertical="center" wrapText="1"/>
    </xf>
    <xf numFmtId="164" fontId="5" fillId="0" borderId="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/>
    </xf>
    <xf numFmtId="4" fontId="5" fillId="0" borderId="2" xfId="4" applyNumberFormat="1" applyFont="1" applyBorder="1" applyAlignment="1">
      <alignment horizontal="center" vertical="center"/>
    </xf>
    <xf numFmtId="164" fontId="5" fillId="0" borderId="2" xfId="6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 wrapText="1"/>
    </xf>
    <xf numFmtId="165" fontId="11" fillId="0" borderId="0" xfId="2" applyNumberFormat="1" applyFont="1" applyAlignment="1">
      <alignment horizontal="center" vertical="center"/>
    </xf>
    <xf numFmtId="0" fontId="10" fillId="0" borderId="0" xfId="3" applyFont="1" applyAlignment="1">
      <alignment vertical="center"/>
    </xf>
    <xf numFmtId="0" fontId="8" fillId="0" borderId="0" xfId="4" applyFont="1" applyAlignment="1">
      <alignment vertical="center"/>
    </xf>
    <xf numFmtId="165" fontId="10" fillId="0" borderId="0" xfId="2" applyNumberFormat="1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0" fillId="0" borderId="5" xfId="0" applyBorder="1"/>
    <xf numFmtId="49" fontId="5" fillId="0" borderId="2" xfId="5" applyNumberFormat="1" applyFont="1" applyBorder="1">
      <alignment horizontal="center" vertical="center" wrapText="1"/>
    </xf>
    <xf numFmtId="0" fontId="5" fillId="0" borderId="2" xfId="5" applyFont="1" applyBorder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3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49" fontId="11" fillId="0" borderId="2" xfId="3" applyNumberFormat="1" applyFont="1" applyBorder="1" applyAlignment="1">
      <alignment horizontal="center" vertical="center"/>
    </xf>
    <xf numFmtId="0" fontId="11" fillId="0" borderId="2" xfId="3" applyFont="1" applyBorder="1" applyAlignment="1">
      <alignment vertical="center" wrapText="1"/>
    </xf>
    <xf numFmtId="0" fontId="5" fillId="0" borderId="2" xfId="3" applyFont="1" applyBorder="1" applyAlignment="1">
      <alignment horizontal="center" vertical="center" wrapText="1"/>
    </xf>
    <xf numFmtId="4" fontId="11" fillId="0" borderId="2" xfId="2" applyNumberFormat="1" applyFont="1" applyBorder="1" applyAlignment="1">
      <alignment horizontal="center" vertical="center"/>
    </xf>
    <xf numFmtId="4" fontId="5" fillId="0" borderId="0" xfId="2" applyNumberFormat="1" applyFont="1" applyAlignment="1">
      <alignment vertical="center"/>
    </xf>
    <xf numFmtId="49" fontId="5" fillId="0" borderId="2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vertical="center" wrapText="1"/>
    </xf>
    <xf numFmtId="4" fontId="5" fillId="0" borderId="2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vertical="center"/>
    </xf>
    <xf numFmtId="0" fontId="5" fillId="0" borderId="2" xfId="7" applyFont="1" applyBorder="1" applyAlignment="1">
      <alignment horizontal="left" vertical="center" wrapText="1"/>
    </xf>
    <xf numFmtId="166" fontId="5" fillId="0" borderId="0" xfId="2" applyNumberFormat="1" applyFont="1" applyAlignment="1">
      <alignment vertical="center"/>
    </xf>
    <xf numFmtId="0" fontId="11" fillId="0" borderId="2" xfId="3" applyFont="1" applyBorder="1" applyAlignment="1">
      <alignment horizontal="left" vertical="center" wrapText="1"/>
    </xf>
    <xf numFmtId="49" fontId="5" fillId="0" borderId="2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 wrapText="1"/>
    </xf>
    <xf numFmtId="4" fontId="5" fillId="0" borderId="2" xfId="2" applyNumberFormat="1" applyFont="1" applyBorder="1" applyAlignment="1">
      <alignment vertical="center"/>
    </xf>
    <xf numFmtId="3" fontId="5" fillId="0" borderId="2" xfId="2" applyNumberFormat="1" applyFont="1" applyBorder="1" applyAlignment="1">
      <alignment vertical="center"/>
    </xf>
    <xf numFmtId="0" fontId="11" fillId="0" borderId="2" xfId="3" applyFont="1" applyBorder="1" applyAlignment="1">
      <alignment vertical="center"/>
    </xf>
    <xf numFmtId="0" fontId="11" fillId="0" borderId="2" xfId="3" applyFont="1" applyBorder="1" applyAlignment="1">
      <alignment horizontal="center" vertical="center" wrapText="1"/>
    </xf>
    <xf numFmtId="4" fontId="11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5" fillId="0" borderId="2" xfId="3" applyFont="1" applyBorder="1" applyAlignment="1">
      <alignment vertical="center"/>
    </xf>
    <xf numFmtId="3" fontId="5" fillId="0" borderId="2" xfId="3" applyNumberFormat="1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/>
    </xf>
    <xf numFmtId="4" fontId="11" fillId="0" borderId="2" xfId="8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4" fontId="8" fillId="0" borderId="2" xfId="2" applyNumberFormat="1" applyFont="1" applyBorder="1" applyAlignment="1">
      <alignment vertical="center"/>
    </xf>
    <xf numFmtId="3" fontId="8" fillId="0" borderId="2" xfId="2" applyNumberFormat="1" applyFont="1" applyBorder="1" applyAlignment="1">
      <alignment vertical="center"/>
    </xf>
    <xf numFmtId="4" fontId="8" fillId="0" borderId="0" xfId="2" applyNumberFormat="1" applyFont="1" applyAlignment="1">
      <alignment vertical="center"/>
    </xf>
    <xf numFmtId="0" fontId="11" fillId="0" borderId="2" xfId="5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/>
    </xf>
    <xf numFmtId="4" fontId="5" fillId="0" borderId="2" xfId="8" applyFont="1" applyFill="1" applyBorder="1" applyAlignment="1">
      <alignment horizontal="center" vertical="center"/>
    </xf>
    <xf numFmtId="164" fontId="5" fillId="0" borderId="2" xfId="8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67" fontId="5" fillId="0" borderId="2" xfId="8" applyNumberFormat="1" applyFont="1" applyFill="1" applyBorder="1" applyAlignment="1">
      <alignment vertical="center"/>
    </xf>
    <xf numFmtId="168" fontId="5" fillId="0" borderId="0" xfId="2" applyNumberFormat="1" applyFont="1" applyAlignment="1">
      <alignment vertical="center"/>
    </xf>
    <xf numFmtId="167" fontId="11" fillId="0" borderId="2" xfId="8" applyNumberFormat="1" applyFont="1" applyFill="1" applyBorder="1" applyAlignment="1">
      <alignment vertical="center"/>
    </xf>
  </cellXfs>
  <cellStyles count="9">
    <cellStyle name="ЗаголовокСтолбца 2 2" xfId="5" xr:uid="{C9E362A6-FA92-4616-A163-4278ABDF2F77}"/>
    <cellStyle name="Обычный" xfId="0" builtinId="0"/>
    <cellStyle name="Обычный 11" xfId="7" xr:uid="{6400238F-1F86-4D37-A1DD-71ECD66C27B6}"/>
    <cellStyle name="Обычный 2" xfId="1" xr:uid="{BE6FDEA5-EB3C-4344-BC76-30CC2F584EDE}"/>
    <cellStyle name="Обычный 2 2" xfId="3" xr:uid="{4A23FCFA-9A25-4F3C-B0D2-76AFDDEBB63B}"/>
    <cellStyle name="Обычный 6" xfId="2" xr:uid="{0DB5C2C2-287E-4027-8726-266842B66C00}"/>
    <cellStyle name="Обычный 6 2" xfId="4" xr:uid="{2A056ABF-979C-4248-9956-76CADC289756}"/>
    <cellStyle name="Процентный 4" xfId="6" xr:uid="{58E6B182-AFBB-4742-95B4-FA9DBB1AAE64}"/>
    <cellStyle name="Формула_GRES.2007.5 3" xfId="8" xr:uid="{0E5CF063-E22E-40A1-998E-B938BC07C8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4;&#1041;&#1052;&#1045;&#1053;\&#1076;&#1083;&#1103;%20&#1084;&#1077;&#1085;&#1103;\&#1044;&#1083;&#1103;%20&#1056;&#1069;&#1050;\&#1058;&#1072;&#1088;&#1080;&#1092;&#1099;%202023\&#1069;&#1058;&#1050;\&#1054;&#1090;%20&#1056;&#1069;&#1050;\&#1069;&#1058;&#1050;_&#1058;&#1072;&#1088;&#1080;&#1092;%202023%20(&#1092;&#1072;&#1082;&#1090;%202021)_(&#1054;&#1050;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BMEN\&#1076;&#1083;&#1103;%20&#1084;&#1077;&#1085;&#1103;\&#1044;&#1083;&#1103;%20&#1056;&#1069;&#1050;\&#1058;&#1072;&#1088;&#1080;&#1092;&#1099;%202024\&#1069;&#1058;&#1050;\&#1069;&#1058;&#1050;%20&#1088;&#1072;&#1089;&#1095;&#1077;&#1090;%20&#1090;&#1072;&#1088;&#1080;&#1092;&#1086;&#1074;%20&#1101;&#1101;%202024%20(&#1082;&#1086;&#1088;&#1088;&#1077;&#1082;&#1090;&#1080;&#1088;&#1086;&#1074;&#1082;&#1072;%2031.10.23)%20&#1052;&#1057;.xlsx" TargetMode="External"/><Relationship Id="rId1" Type="http://schemas.openxmlformats.org/officeDocument/2006/relationships/externalLinkPath" Target="/OBMEN/&#1076;&#1083;&#1103;%20&#1084;&#1077;&#1085;&#1103;/&#1044;&#1083;&#1103;%20&#1056;&#1069;&#1050;/&#1058;&#1072;&#1088;&#1080;&#1092;&#1099;%202024/&#1069;&#1058;&#1050;/&#1069;&#1058;&#1050;%20&#1088;&#1072;&#1089;&#1095;&#1077;&#1090;%20&#1090;&#1072;&#1088;&#1080;&#1092;&#1086;&#1074;%20&#1101;&#1101;%202024%20(&#1082;&#1086;&#1088;&#1088;&#1077;&#1082;&#1090;&#1080;&#1088;&#1086;&#1074;&#1082;&#1072;%2031.10.23)%20&#1052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шифровка за 2021"/>
      <sheetName val="Корр"/>
      <sheetName val="Калькуляция 2023"/>
      <sheetName val="Сравн. анализ"/>
      <sheetName val="сч.20"/>
      <sheetName val="сч.26"/>
      <sheetName val="сч.90, 91"/>
      <sheetName val="Ремонт и содерж. ОС"/>
      <sheetName val="Транспорт,страхов."/>
      <sheetName val="Консульт,связь,прочие"/>
      <sheetName val="ОТТБ"/>
      <sheetName val="Обучение,командиров."/>
      <sheetName val="Юр.,зем.нал"/>
      <sheetName val="П1.16"/>
      <sheetName val="Труд"/>
      <sheetName val="Аренда"/>
      <sheetName val="Потери"/>
      <sheetName val="ТСО"/>
      <sheetName val="Сдача в аренду"/>
      <sheetName val="Кредит,%"/>
      <sheetName val="Резерв"/>
      <sheetName val="ТЭП"/>
      <sheetName val="ремонт 2021 (факт)"/>
    </sheetNames>
    <sheetDataSet>
      <sheetData sheetId="0" refreshError="1"/>
      <sheetData sheetId="1" refreshError="1">
        <row r="12">
          <cell r="F12">
            <v>1839.69</v>
          </cell>
        </row>
        <row r="43">
          <cell r="F43">
            <v>-12627.27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2">
          <cell r="L42">
            <v>526</v>
          </cell>
        </row>
      </sheetData>
      <sheetData sheetId="13" refreshError="1"/>
      <sheetData sheetId="14" refreshError="1"/>
      <sheetData sheetId="15" refreshError="1">
        <row r="8">
          <cell r="M8">
            <v>15.44</v>
          </cell>
        </row>
        <row r="9">
          <cell r="M9">
            <v>4719.92</v>
          </cell>
        </row>
        <row r="10">
          <cell r="M10">
            <v>0.53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12">
          <cell r="E12">
            <v>3548.56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"/>
      <sheetName val="5"/>
      <sheetName val="6"/>
      <sheetName val="15(ээ)"/>
      <sheetName val="18.2"/>
      <sheetName val="20"/>
      <sheetName val="20.3"/>
      <sheetName val="21.3"/>
      <sheetName val="25"/>
      <sheetName val="24"/>
      <sheetName val="27"/>
      <sheetName val="2020-2024 1"/>
      <sheetName val="табл П 1.17"/>
      <sheetName val="табл П 1.17.1"/>
      <sheetName val="зем нал 25"/>
      <sheetName val="тр н-г 25"/>
      <sheetName val="ОСАГО 25"/>
      <sheetName val="сомнит долги"/>
      <sheetName val="неподконтрольные ээ"/>
      <sheetName val="Услуги ФСК ЕЭС"/>
      <sheetName val="амортизация"/>
      <sheetName val="Налог на имущество"/>
      <sheetName val="тр н-г 26"/>
      <sheetName val="ОСАГО 26"/>
      <sheetName val="зем н-г 26"/>
      <sheetName val="Корректировка за 2022"/>
    </sheetNames>
    <sheetDataSet>
      <sheetData sheetId="0">
        <row r="24">
          <cell r="O24">
            <v>7.1490810000000007</v>
          </cell>
        </row>
        <row r="27">
          <cell r="O27">
            <v>469.44709400000005</v>
          </cell>
        </row>
      </sheetData>
      <sheetData sheetId="1">
        <row r="26">
          <cell r="O26">
            <v>5.1999999999999998E-2</v>
          </cell>
        </row>
        <row r="27">
          <cell r="O27">
            <v>70.884000000000015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B9">
            <v>2021.2780623000001</v>
          </cell>
        </row>
      </sheetData>
      <sheetData sheetId="18">
        <row r="8">
          <cell r="F8">
            <v>2651192.4549939674</v>
          </cell>
        </row>
        <row r="10">
          <cell r="C10">
            <v>7566473.2599999998</v>
          </cell>
          <cell r="E10">
            <v>0</v>
          </cell>
        </row>
        <row r="25">
          <cell r="H25">
            <v>532396.74541834253</v>
          </cell>
        </row>
        <row r="26">
          <cell r="H26">
            <v>3559454.1846675221</v>
          </cell>
        </row>
        <row r="27">
          <cell r="H27">
            <v>23076.774077475289</v>
          </cell>
        </row>
        <row r="29">
          <cell r="B29" t="str">
            <v>Услуги ФСК ЕЭС (РП-245)</v>
          </cell>
          <cell r="C29">
            <v>26150773.765184332</v>
          </cell>
        </row>
      </sheetData>
      <sheetData sheetId="19"/>
      <sheetData sheetId="20">
        <row r="22">
          <cell r="K22">
            <v>30406204.007274803</v>
          </cell>
        </row>
        <row r="822">
          <cell r="K822">
            <v>388463.4</v>
          </cell>
        </row>
      </sheetData>
      <sheetData sheetId="21"/>
      <sheetData sheetId="22"/>
      <sheetData sheetId="23"/>
      <sheetData sheetId="24"/>
      <sheetData sheetId="25">
        <row r="11">
          <cell r="F11">
            <v>2796.31</v>
          </cell>
        </row>
        <row r="42">
          <cell r="F42">
            <v>74883.03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6E276-FD4C-4D58-A6E8-B765A7432147}">
  <sheetPr>
    <pageSetUpPr fitToPage="1"/>
  </sheetPr>
  <dimension ref="A1:IP107"/>
  <sheetViews>
    <sheetView tabSelected="1" view="pageBreakPreview" zoomScale="60" zoomScaleNormal="100" workbookViewId="0">
      <selection activeCell="B21" sqref="B21:B22"/>
    </sheetView>
  </sheetViews>
  <sheetFormatPr defaultRowHeight="15" x14ac:dyDescent="0.25"/>
  <cols>
    <col min="1" max="1" width="8.28515625" style="29" customWidth="1"/>
    <col min="2" max="2" width="51.85546875" style="2" customWidth="1"/>
    <col min="3" max="3" width="12.85546875" style="2" customWidth="1"/>
    <col min="4" max="6" width="14.5703125" style="2" customWidth="1"/>
    <col min="7" max="7" width="15.85546875" style="2" customWidth="1"/>
    <col min="8" max="8" width="16.7109375" style="2" customWidth="1"/>
    <col min="9" max="10" width="9.85546875" style="2" bestFit="1" customWidth="1"/>
    <col min="11" max="223" width="9.140625" style="2"/>
    <col min="224" max="224" width="9.5703125" style="2" customWidth="1"/>
    <col min="225" max="225" width="55.28515625" style="2" customWidth="1"/>
    <col min="226" max="226" width="12.5703125" style="2" customWidth="1"/>
    <col min="227" max="227" width="21.5703125" style="2" customWidth="1"/>
    <col min="228" max="228" width="22.140625" style="2" customWidth="1"/>
    <col min="229" max="229" width="19.5703125" style="2" customWidth="1"/>
    <col min="230" max="230" width="19.85546875" style="2" customWidth="1"/>
    <col min="231" max="231" width="18.85546875" style="2" customWidth="1"/>
    <col min="232" max="232" width="20.5703125" style="2" customWidth="1"/>
    <col min="233" max="233" width="20.85546875" style="2" customWidth="1"/>
    <col min="234" max="234" width="19.140625" style="2" customWidth="1"/>
    <col min="235" max="235" width="18" style="2" customWidth="1"/>
    <col min="236" max="237" width="9.140625" style="2"/>
    <col min="238" max="238" width="15.140625" style="2" customWidth="1"/>
    <col min="239" max="250" width="9.140625" style="2"/>
  </cols>
  <sheetData>
    <row r="1" spans="1:250" ht="15.75" x14ac:dyDescent="0.25">
      <c r="A1" s="1"/>
      <c r="H1" s="3"/>
    </row>
    <row r="2" spans="1:250" ht="15.75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x14ac:dyDescent="0.25">
      <c r="A3" s="5"/>
    </row>
    <row r="4" spans="1:250" ht="15.75" x14ac:dyDescent="0.25">
      <c r="A4" s="6" t="s">
        <v>0</v>
      </c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x14ac:dyDescent="0.25">
      <c r="A5" s="7"/>
      <c r="B5" s="7"/>
      <c r="C5" s="7"/>
      <c r="D5" s="7"/>
      <c r="E5" s="7"/>
      <c r="F5" s="7"/>
      <c r="G5" s="7"/>
      <c r="H5" s="7"/>
    </row>
    <row r="6" spans="1:250" x14ac:dyDescent="0.25">
      <c r="A6" s="8" t="s">
        <v>1</v>
      </c>
      <c r="B6" s="9"/>
      <c r="C6" s="9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</row>
    <row r="7" spans="1:250" ht="38.25" x14ac:dyDescent="0.25">
      <c r="A7" s="12" t="s">
        <v>2</v>
      </c>
      <c r="B7" s="13" t="s">
        <v>3</v>
      </c>
      <c r="C7" s="14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</row>
    <row r="8" spans="1:250" ht="15.75" x14ac:dyDescent="0.25">
      <c r="A8" s="16" t="s">
        <v>10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</row>
    <row r="9" spans="1:250" x14ac:dyDescent="0.25">
      <c r="A9" s="13">
        <v>1</v>
      </c>
      <c r="B9" s="19" t="s">
        <v>11</v>
      </c>
      <c r="C9" s="13"/>
      <c r="D9" s="20">
        <v>0.01</v>
      </c>
      <c r="E9" s="20">
        <v>0.01</v>
      </c>
      <c r="F9" s="20">
        <v>0.01</v>
      </c>
      <c r="G9" s="20">
        <v>0.01</v>
      </c>
      <c r="H9" s="20">
        <v>0.01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</row>
    <row r="10" spans="1:250" ht="25.5" x14ac:dyDescent="0.25">
      <c r="A10" s="13">
        <v>2</v>
      </c>
      <c r="B10" s="19" t="s">
        <v>12</v>
      </c>
      <c r="C10" s="13"/>
      <c r="D10" s="20">
        <v>0.75</v>
      </c>
      <c r="E10" s="20">
        <v>0.75</v>
      </c>
      <c r="F10" s="20">
        <v>0.75</v>
      </c>
      <c r="G10" s="20">
        <v>0.75</v>
      </c>
      <c r="H10" s="20">
        <v>0.75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</row>
    <row r="11" spans="1:250" ht="25.5" x14ac:dyDescent="0.25">
      <c r="A11" s="13">
        <v>3</v>
      </c>
      <c r="B11" s="19" t="s">
        <v>13</v>
      </c>
      <c r="C11" s="13" t="s">
        <v>14</v>
      </c>
      <c r="D11" s="20">
        <v>1.5</v>
      </c>
      <c r="E11" s="20">
        <v>1.5</v>
      </c>
      <c r="F11" s="20">
        <v>1.5</v>
      </c>
      <c r="G11" s="20">
        <v>1.5</v>
      </c>
      <c r="H11" s="20">
        <v>1.5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</row>
    <row r="12" spans="1:250" x14ac:dyDescent="0.25">
      <c r="A12" s="13">
        <v>4</v>
      </c>
      <c r="B12" s="19" t="s">
        <v>15</v>
      </c>
      <c r="C12" s="13"/>
      <c r="D12" s="13">
        <v>2</v>
      </c>
      <c r="E12" s="13">
        <v>2</v>
      </c>
      <c r="F12" s="13">
        <v>2</v>
      </c>
      <c r="G12" s="13">
        <v>2</v>
      </c>
      <c r="H12" s="20">
        <v>2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</row>
    <row r="13" spans="1:250" ht="15.75" x14ac:dyDescent="0.25">
      <c r="A13" s="21" t="s">
        <v>16</v>
      </c>
      <c r="B13" s="22"/>
      <c r="C13" s="22"/>
      <c r="D13" s="22"/>
      <c r="E13" s="22"/>
      <c r="F13" s="22"/>
      <c r="G13" s="22"/>
      <c r="H13" s="22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</row>
    <row r="14" spans="1:250" x14ac:dyDescent="0.25">
      <c r="A14" s="13">
        <v>1</v>
      </c>
      <c r="B14" s="19" t="s">
        <v>17</v>
      </c>
      <c r="C14" s="13"/>
      <c r="D14" s="23">
        <v>1.03</v>
      </c>
      <c r="E14" s="23">
        <f>1.036</f>
        <v>1.036</v>
      </c>
      <c r="F14" s="24">
        <f>1.043</f>
        <v>1.0429999999999999</v>
      </c>
      <c r="G14" s="24">
        <f>1.06</f>
        <v>1.06</v>
      </c>
      <c r="H14" s="25">
        <v>1.0720000000000001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</row>
    <row r="15" spans="1:250" x14ac:dyDescent="0.25">
      <c r="A15" s="13">
        <v>2</v>
      </c>
      <c r="B15" s="19" t="s">
        <v>18</v>
      </c>
      <c r="C15" s="13" t="s">
        <v>19</v>
      </c>
      <c r="D15" s="26">
        <v>2627.53</v>
      </c>
      <c r="E15" s="26">
        <v>2637.78</v>
      </c>
      <c r="F15" s="26">
        <v>2905.23</v>
      </c>
      <c r="G15" s="26">
        <v>3205.66</v>
      </c>
      <c r="H15" s="27">
        <v>4098.3599999999997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</row>
    <row r="16" spans="1:250" x14ac:dyDescent="0.25">
      <c r="A16" s="13">
        <v>3</v>
      </c>
      <c r="B16" s="19" t="s">
        <v>20</v>
      </c>
      <c r="C16" s="13"/>
      <c r="D16" s="28">
        <f>(D15-2741.6)/2741.6</f>
        <v>-4.1607090749926946E-2</v>
      </c>
      <c r="E16" s="28">
        <f>(E15-D15)/D15</f>
        <v>3.9010020818030619E-3</v>
      </c>
      <c r="F16" s="28">
        <f>(F15-E15)/E15</f>
        <v>0.10139207970338686</v>
      </c>
      <c r="G16" s="28">
        <f>(G15-F15)/F15</f>
        <v>0.10341005703507118</v>
      </c>
      <c r="H16" s="28">
        <f>(H15-G15)/G15</f>
        <v>0.27847619522968747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</row>
    <row r="17" spans="1:250" x14ac:dyDescent="0.25">
      <c r="A17" s="13">
        <v>4</v>
      </c>
      <c r="B17" s="19" t="s">
        <v>21</v>
      </c>
      <c r="C17" s="13"/>
      <c r="D17" s="28">
        <f>D14*(1+D10*D16)*(1-D9)</f>
        <v>0.98787993717172473</v>
      </c>
      <c r="E17" s="28">
        <f>E14*(1+E10*E16)*(1-E9)</f>
        <v>1.0286407678313854</v>
      </c>
      <c r="F17" s="28">
        <f>F14*(1+F10*F16)*(1-F9)</f>
        <v>1.1110908148044947</v>
      </c>
      <c r="G17" s="28">
        <f>ROUND(G14*(1+G10*G16)*(1-G9),3)</f>
        <v>1.131</v>
      </c>
      <c r="H17" s="28">
        <f>ROUND(H14*(1+H10*H16)*(1-H9),3)</f>
        <v>1.2829999999999999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</row>
    <row r="18" spans="1:250" x14ac:dyDescent="0.25">
      <c r="B18" s="30"/>
      <c r="C18" s="29"/>
      <c r="D18" s="31"/>
      <c r="E18" s="31"/>
      <c r="F18" s="31"/>
      <c r="G18" s="31"/>
    </row>
    <row r="19" spans="1:250" ht="15.75" x14ac:dyDescent="0.25">
      <c r="A19" s="32" t="s">
        <v>22</v>
      </c>
      <c r="B19" s="33"/>
      <c r="C19" s="33"/>
      <c r="D19" s="34"/>
      <c r="E19" s="34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x14ac:dyDescent="0.25">
      <c r="A20" s="36"/>
      <c r="B20" s="36"/>
      <c r="C20" s="36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25">
      <c r="A21" s="37" t="s">
        <v>2</v>
      </c>
      <c r="B21" s="38" t="s">
        <v>3</v>
      </c>
      <c r="C21" s="38" t="s">
        <v>4</v>
      </c>
      <c r="D21" s="39" t="s">
        <v>23</v>
      </c>
      <c r="E21" s="39" t="s">
        <v>6</v>
      </c>
      <c r="F21" s="39" t="s">
        <v>7</v>
      </c>
      <c r="G21" s="40" t="s">
        <v>24</v>
      </c>
      <c r="H21" s="41">
        <v>2024</v>
      </c>
    </row>
    <row r="22" spans="1:250" x14ac:dyDescent="0.25">
      <c r="A22" s="37"/>
      <c r="B22" s="38"/>
      <c r="C22" s="38"/>
      <c r="D22" s="39"/>
      <c r="E22" s="39"/>
      <c r="F22" s="39"/>
      <c r="G22" s="40"/>
      <c r="H22" s="42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</row>
    <row r="23" spans="1:250" ht="15.75" x14ac:dyDescent="0.25">
      <c r="A23" s="43" t="s">
        <v>25</v>
      </c>
      <c r="B23" s="44" t="s">
        <v>26</v>
      </c>
      <c r="C23" s="45"/>
      <c r="D23" s="43"/>
      <c r="E23" s="43"/>
      <c r="F23" s="43"/>
      <c r="G23" s="43"/>
      <c r="H23" s="43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</row>
    <row r="24" spans="1:250" x14ac:dyDescent="0.25">
      <c r="A24" s="47" t="s">
        <v>27</v>
      </c>
      <c r="B24" s="48" t="s">
        <v>28</v>
      </c>
      <c r="C24" s="49" t="s">
        <v>29</v>
      </c>
      <c r="D24" s="50">
        <f t="shared" ref="D24:H25" si="0">D25</f>
        <v>136.59</v>
      </c>
      <c r="E24" s="50">
        <f t="shared" si="0"/>
        <v>140.5</v>
      </c>
      <c r="F24" s="50">
        <f t="shared" si="0"/>
        <v>156.11000000000001</v>
      </c>
      <c r="G24" s="50">
        <f t="shared" si="0"/>
        <v>176.56</v>
      </c>
      <c r="H24" s="50">
        <f t="shared" si="0"/>
        <v>226.52647999999999</v>
      </c>
      <c r="I24" s="51"/>
      <c r="J24" s="51"/>
    </row>
    <row r="25" spans="1:250" x14ac:dyDescent="0.25">
      <c r="A25" s="52" t="s">
        <v>30</v>
      </c>
      <c r="B25" s="53" t="s">
        <v>31</v>
      </c>
      <c r="C25" s="49" t="s">
        <v>29</v>
      </c>
      <c r="D25" s="54">
        <f t="shared" si="0"/>
        <v>136.59</v>
      </c>
      <c r="E25" s="54">
        <f t="shared" si="0"/>
        <v>140.5</v>
      </c>
      <c r="F25" s="54">
        <f t="shared" si="0"/>
        <v>156.11000000000001</v>
      </c>
      <c r="G25" s="54">
        <f t="shared" si="0"/>
        <v>176.56</v>
      </c>
      <c r="H25" s="54">
        <f t="shared" si="0"/>
        <v>226.52647999999999</v>
      </c>
      <c r="I25" s="51"/>
      <c r="J25" s="55"/>
    </row>
    <row r="26" spans="1:250" x14ac:dyDescent="0.25">
      <c r="A26" s="52" t="s">
        <v>30</v>
      </c>
      <c r="B26" s="56" t="s">
        <v>32</v>
      </c>
      <c r="C26" s="49" t="s">
        <v>29</v>
      </c>
      <c r="D26" s="54">
        <v>136.59</v>
      </c>
      <c r="E26" s="54">
        <v>140.5</v>
      </c>
      <c r="F26" s="54">
        <v>156.11000000000001</v>
      </c>
      <c r="G26" s="54">
        <f>ROUND((F26*$G$17),2)</f>
        <v>176.56</v>
      </c>
      <c r="H26" s="54">
        <f>G26*H17</f>
        <v>226.52647999999999</v>
      </c>
      <c r="I26" s="57"/>
      <c r="J26" s="55"/>
    </row>
    <row r="27" spans="1:250" x14ac:dyDescent="0.25">
      <c r="A27" s="47" t="s">
        <v>33</v>
      </c>
      <c r="B27" s="58" t="s">
        <v>34</v>
      </c>
      <c r="C27" s="49" t="s">
        <v>29</v>
      </c>
      <c r="D27" s="50">
        <f>D28+D31+D34</f>
        <v>60568.87</v>
      </c>
      <c r="E27" s="50">
        <f>E28+E31+E34</f>
        <v>62303.599999999991</v>
      </c>
      <c r="F27" s="50">
        <f>F28+F31+F34</f>
        <v>69226.78</v>
      </c>
      <c r="G27" s="50">
        <f>G28+G31+G34</f>
        <v>78295.48</v>
      </c>
      <c r="H27" s="50">
        <f>H28+H31+H34</f>
        <v>117207.68235233161</v>
      </c>
      <c r="I27" s="51"/>
      <c r="J27" s="55"/>
    </row>
    <row r="28" spans="1:250" x14ac:dyDescent="0.25">
      <c r="A28" s="59" t="s">
        <v>35</v>
      </c>
      <c r="B28" s="60" t="s">
        <v>36</v>
      </c>
      <c r="C28" s="49" t="s">
        <v>29</v>
      </c>
      <c r="D28" s="61">
        <f>ROUND((D30/1000*12*D29),2)</f>
        <v>20523.34</v>
      </c>
      <c r="E28" s="61">
        <v>21111.14</v>
      </c>
      <c r="F28" s="61">
        <v>23457.01</v>
      </c>
      <c r="G28" s="61">
        <f>ROUND((F28*$G$17),2)</f>
        <v>26529.88</v>
      </c>
      <c r="H28" s="61">
        <f>21603*E17*F17*G17*H17</f>
        <v>35827.509258945</v>
      </c>
      <c r="I28" s="51"/>
      <c r="J28" s="55"/>
    </row>
    <row r="29" spans="1:250" x14ac:dyDescent="0.25">
      <c r="A29" s="59"/>
      <c r="B29" s="60" t="s">
        <v>37</v>
      </c>
      <c r="C29" s="49" t="s">
        <v>38</v>
      </c>
      <c r="D29" s="62">
        <v>41</v>
      </c>
      <c r="E29" s="62">
        <v>41</v>
      </c>
      <c r="F29" s="62">
        <v>41</v>
      </c>
      <c r="G29" s="62">
        <f>D29</f>
        <v>41</v>
      </c>
      <c r="H29" s="62">
        <v>41</v>
      </c>
      <c r="I29" s="51"/>
      <c r="J29" s="55"/>
    </row>
    <row r="30" spans="1:250" x14ac:dyDescent="0.25">
      <c r="A30" s="59"/>
      <c r="B30" s="60" t="s">
        <v>39</v>
      </c>
      <c r="C30" s="49" t="s">
        <v>40</v>
      </c>
      <c r="D30" s="61">
        <v>41714.1</v>
      </c>
      <c r="E30" s="61">
        <f>E28/E29/12*1000</f>
        <v>42908.82113821138</v>
      </c>
      <c r="F30" s="61">
        <f>F28/F29/12*1000</f>
        <v>47676.849593495936</v>
      </c>
      <c r="G30" s="61">
        <f>G28/G29/12*1000</f>
        <v>53922.520325203259</v>
      </c>
      <c r="H30" s="61">
        <f>H28/H29/12*1000</f>
        <v>72820.140770213417</v>
      </c>
      <c r="I30" s="51"/>
      <c r="J30" s="55"/>
    </row>
    <row r="31" spans="1:250" x14ac:dyDescent="0.25">
      <c r="A31" s="59" t="s">
        <v>41</v>
      </c>
      <c r="B31" s="60" t="s">
        <v>42</v>
      </c>
      <c r="C31" s="49" t="s">
        <v>29</v>
      </c>
      <c r="D31" s="61">
        <f>ROUND((D33/1000*12*D32),2)</f>
        <v>16018.21</v>
      </c>
      <c r="E31" s="61">
        <v>16476.98</v>
      </c>
      <c r="F31" s="61">
        <v>18307.900000000001</v>
      </c>
      <c r="G31" s="61">
        <f>ROUND((F31*$G$17),2)</f>
        <v>20706.23</v>
      </c>
      <c r="H31" s="61">
        <f>20676.1*E17*F17*G17*H17</f>
        <v>34290.291357166716</v>
      </c>
      <c r="I31" s="51"/>
      <c r="J31" s="55"/>
    </row>
    <row r="32" spans="1:250" x14ac:dyDescent="0.25">
      <c r="A32" s="59"/>
      <c r="B32" s="60" t="s">
        <v>43</v>
      </c>
      <c r="C32" s="49" t="s">
        <v>38</v>
      </c>
      <c r="D32" s="62">
        <v>32</v>
      </c>
      <c r="E32" s="62">
        <v>32</v>
      </c>
      <c r="F32" s="62">
        <v>32</v>
      </c>
      <c r="G32" s="62">
        <f>D32</f>
        <v>32</v>
      </c>
      <c r="H32" s="62">
        <v>32</v>
      </c>
      <c r="I32" s="51"/>
      <c r="J32" s="55"/>
    </row>
    <row r="33" spans="1:250" x14ac:dyDescent="0.25">
      <c r="A33" s="59"/>
      <c r="B33" s="60" t="s">
        <v>44</v>
      </c>
      <c r="C33" s="49" t="s">
        <v>40</v>
      </c>
      <c r="D33" s="61">
        <v>41714.1</v>
      </c>
      <c r="E33" s="61">
        <f>E31/E32/12*1000</f>
        <v>42908.802083333336</v>
      </c>
      <c r="F33" s="61">
        <f>F31/F32/12*1000</f>
        <v>47676.822916666672</v>
      </c>
      <c r="G33" s="61">
        <f>G31/G32/12*1000</f>
        <v>53922.473958333336</v>
      </c>
      <c r="H33" s="61">
        <f>H31/H32/12*1000</f>
        <v>89297.633742621663</v>
      </c>
      <c r="I33" s="51"/>
      <c r="J33" s="55"/>
    </row>
    <row r="34" spans="1:250" x14ac:dyDescent="0.25">
      <c r="A34" s="59" t="s">
        <v>45</v>
      </c>
      <c r="B34" s="60" t="s">
        <v>46</v>
      </c>
      <c r="C34" s="49" t="s">
        <v>29</v>
      </c>
      <c r="D34" s="61">
        <f>ROUND((D36/1000*12*D35),2)</f>
        <v>24027.32</v>
      </c>
      <c r="E34" s="61">
        <v>24715.48</v>
      </c>
      <c r="F34" s="61">
        <v>27461.87</v>
      </c>
      <c r="G34" s="61">
        <f>ROUND((F34*$G$17),2)</f>
        <v>31059.37</v>
      </c>
      <c r="H34" s="61">
        <f>28393.9*E17*F17*G17*H17</f>
        <v>47089.881736219897</v>
      </c>
      <c r="I34" s="51"/>
      <c r="J34" s="55"/>
    </row>
    <row r="35" spans="1:250" x14ac:dyDescent="0.25">
      <c r="A35" s="59"/>
      <c r="B35" s="60" t="s">
        <v>47</v>
      </c>
      <c r="C35" s="49" t="s">
        <v>38</v>
      </c>
      <c r="D35" s="62">
        <v>48</v>
      </c>
      <c r="E35" s="62">
        <v>48</v>
      </c>
      <c r="F35" s="62">
        <v>48</v>
      </c>
      <c r="G35" s="62">
        <f>D35</f>
        <v>48</v>
      </c>
      <c r="H35" s="62">
        <v>48</v>
      </c>
      <c r="I35" s="51"/>
      <c r="J35" s="55"/>
    </row>
    <row r="36" spans="1:250" x14ac:dyDescent="0.25">
      <c r="A36" s="59"/>
      <c r="B36" s="60" t="s">
        <v>48</v>
      </c>
      <c r="C36" s="49" t="s">
        <v>40</v>
      </c>
      <c r="D36" s="61">
        <v>41714.1</v>
      </c>
      <c r="E36" s="61">
        <f>E34/E35/12*1000</f>
        <v>42908.819444444445</v>
      </c>
      <c r="F36" s="61">
        <f>F34/F35/12*1000</f>
        <v>47676.857638888891</v>
      </c>
      <c r="G36" s="61">
        <f>G34/G35/12*1000</f>
        <v>53922.517361111109</v>
      </c>
      <c r="H36" s="61">
        <f>H34/H35/12*1000</f>
        <v>81753.266903159543</v>
      </c>
      <c r="I36" s="51"/>
      <c r="J36" s="55"/>
    </row>
    <row r="37" spans="1:250" x14ac:dyDescent="0.25">
      <c r="A37" s="47" t="s">
        <v>49</v>
      </c>
      <c r="B37" s="48" t="s">
        <v>50</v>
      </c>
      <c r="C37" s="49" t="s">
        <v>29</v>
      </c>
      <c r="D37" s="50">
        <f>D38+D41+D55+D56+D57+D64+D65+D66+D69</f>
        <v>22804.569999999996</v>
      </c>
      <c r="E37" s="50">
        <f>E38+E41+E55+E56+E57+E64+E65+E66+E69</f>
        <v>23457.690000000006</v>
      </c>
      <c r="F37" s="50">
        <f>F38+F41+F55+F56+F57+F64+F65+F66+F69</f>
        <v>26064.320000000003</v>
      </c>
      <c r="G37" s="50">
        <f>G38+G41+G55+G56+G57+G64+G65+G66+G69</f>
        <v>29478.739999999998</v>
      </c>
      <c r="H37" s="50">
        <f>H38+H41+H55+H56+H57+H64+H65+H66+H69</f>
        <v>37821.22</v>
      </c>
      <c r="I37" s="51"/>
      <c r="J37" s="55"/>
    </row>
    <row r="38" spans="1:250" x14ac:dyDescent="0.25">
      <c r="A38" s="47" t="s">
        <v>51</v>
      </c>
      <c r="B38" s="63" t="s">
        <v>52</v>
      </c>
      <c r="C38" s="64" t="s">
        <v>29</v>
      </c>
      <c r="D38" s="50">
        <f>D39+D40</f>
        <v>14015.59</v>
      </c>
      <c r="E38" s="50">
        <f>E39+E40</f>
        <v>14417</v>
      </c>
      <c r="F38" s="50">
        <f>F39+F40</f>
        <v>16019.02</v>
      </c>
      <c r="G38" s="50">
        <f>G39+G40</f>
        <v>18117.510000000002</v>
      </c>
      <c r="H38" s="50">
        <f>H39+H40</f>
        <v>23244.77</v>
      </c>
      <c r="I38" s="65"/>
      <c r="J38" s="5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</row>
    <row r="39" spans="1:250" x14ac:dyDescent="0.25">
      <c r="A39" s="52" t="s">
        <v>53</v>
      </c>
      <c r="B39" s="67" t="s">
        <v>54</v>
      </c>
      <c r="C39" s="49" t="s">
        <v>29</v>
      </c>
      <c r="D39" s="54">
        <v>11474.65</v>
      </c>
      <c r="E39" s="54">
        <v>11803.29</v>
      </c>
      <c r="F39" s="54">
        <v>13114.87</v>
      </c>
      <c r="G39" s="54">
        <f>ROUND((F39*$G$17),2)</f>
        <v>14832.92</v>
      </c>
      <c r="H39" s="54">
        <f>ROUND((G39*$H$17),2)</f>
        <v>19030.64</v>
      </c>
      <c r="I39" s="51"/>
      <c r="J39" s="55"/>
    </row>
    <row r="40" spans="1:250" x14ac:dyDescent="0.25">
      <c r="A40" s="52" t="s">
        <v>55</v>
      </c>
      <c r="B40" s="67" t="s">
        <v>56</v>
      </c>
      <c r="C40" s="49" t="s">
        <v>29</v>
      </c>
      <c r="D40" s="54">
        <v>2540.94</v>
      </c>
      <c r="E40" s="54">
        <v>2613.71</v>
      </c>
      <c r="F40" s="54">
        <v>2904.15</v>
      </c>
      <c r="G40" s="54">
        <f>ROUND((F40*$G$17),2)</f>
        <v>3284.59</v>
      </c>
      <c r="H40" s="54">
        <f>ROUND((G40*$H$17),2)</f>
        <v>4214.13</v>
      </c>
      <c r="I40" s="51"/>
      <c r="J40" s="55"/>
    </row>
    <row r="41" spans="1:250" x14ac:dyDescent="0.25">
      <c r="A41" s="47" t="s">
        <v>57</v>
      </c>
      <c r="B41" s="48" t="s">
        <v>58</v>
      </c>
      <c r="C41" s="64" t="s">
        <v>29</v>
      </c>
      <c r="D41" s="50">
        <f>D42+D43+D47+D50+D51</f>
        <v>6501.48</v>
      </c>
      <c r="E41" s="50">
        <f>E42+E43+E47+E50+E51</f>
        <v>6687.68</v>
      </c>
      <c r="F41" s="50">
        <f>F42+F43+F47+F50+F51</f>
        <v>7430.8200000000006</v>
      </c>
      <c r="G41" s="50">
        <f>G42+G43+G47+G50+G51</f>
        <v>8404.26</v>
      </c>
      <c r="H41" s="50">
        <f>H42+H43+H47+H50+H51</f>
        <v>10782.65</v>
      </c>
      <c r="I41" s="65"/>
      <c r="J41" s="55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</row>
    <row r="42" spans="1:250" x14ac:dyDescent="0.25">
      <c r="A42" s="52" t="s">
        <v>59</v>
      </c>
      <c r="B42" s="53" t="s">
        <v>60</v>
      </c>
      <c r="C42" s="49" t="s">
        <v>29</v>
      </c>
      <c r="D42" s="54">
        <v>1094.43</v>
      </c>
      <c r="E42" s="54">
        <v>1125.78</v>
      </c>
      <c r="F42" s="54">
        <v>1250.8800000000001</v>
      </c>
      <c r="G42" s="54">
        <f>ROUND((F42*$G$17),2)</f>
        <v>1414.75</v>
      </c>
      <c r="H42" s="54">
        <f>ROUND((G42*$H$17),2)</f>
        <v>1815.12</v>
      </c>
      <c r="I42" s="51"/>
      <c r="J42" s="55"/>
    </row>
    <row r="43" spans="1:250" ht="25.5" x14ac:dyDescent="0.25">
      <c r="A43" s="52" t="s">
        <v>61</v>
      </c>
      <c r="B43" s="53" t="s">
        <v>62</v>
      </c>
      <c r="C43" s="49" t="s">
        <v>29</v>
      </c>
      <c r="D43" s="54">
        <f>D44+D45+D46</f>
        <v>2160.33</v>
      </c>
      <c r="E43" s="54">
        <f>E44+E45+E46</f>
        <v>2222.1999999999998</v>
      </c>
      <c r="F43" s="54">
        <f>F44+F45+F46</f>
        <v>2469.13</v>
      </c>
      <c r="G43" s="54">
        <f>G44+G45+G46</f>
        <v>2792.58</v>
      </c>
      <c r="H43" s="54">
        <f t="shared" ref="H43:H54" si="1">ROUND((G43*$H$17),2)</f>
        <v>3582.88</v>
      </c>
      <c r="I43" s="51"/>
      <c r="J43" s="55"/>
    </row>
    <row r="44" spans="1:250" x14ac:dyDescent="0.25">
      <c r="A44" s="52" t="s">
        <v>63</v>
      </c>
      <c r="B44" s="53" t="s">
        <v>64</v>
      </c>
      <c r="C44" s="49" t="s">
        <v>29</v>
      </c>
      <c r="D44" s="54">
        <v>1308.08</v>
      </c>
      <c r="E44" s="54">
        <v>1345.54</v>
      </c>
      <c r="F44" s="54">
        <v>1495.06</v>
      </c>
      <c r="G44" s="54">
        <f>ROUND((F44*$G$17),2)</f>
        <v>1690.91</v>
      </c>
      <c r="H44" s="54">
        <f t="shared" si="1"/>
        <v>2169.44</v>
      </c>
      <c r="I44" s="51"/>
      <c r="J44" s="55"/>
    </row>
    <row r="45" spans="1:250" x14ac:dyDescent="0.25">
      <c r="A45" s="52" t="s">
        <v>65</v>
      </c>
      <c r="B45" s="53" t="s">
        <v>66</v>
      </c>
      <c r="C45" s="49" t="s">
        <v>29</v>
      </c>
      <c r="D45" s="54">
        <v>626.15</v>
      </c>
      <c r="E45" s="54">
        <v>644.08000000000004</v>
      </c>
      <c r="F45" s="54">
        <v>715.65</v>
      </c>
      <c r="G45" s="54">
        <f>ROUND((F45*$G$17),2)</f>
        <v>809.4</v>
      </c>
      <c r="H45" s="54">
        <f t="shared" si="1"/>
        <v>1038.46</v>
      </c>
      <c r="I45" s="51"/>
      <c r="J45" s="55"/>
    </row>
    <row r="46" spans="1:250" x14ac:dyDescent="0.25">
      <c r="A46" s="52" t="s">
        <v>67</v>
      </c>
      <c r="B46" s="53" t="s">
        <v>68</v>
      </c>
      <c r="C46" s="49" t="s">
        <v>29</v>
      </c>
      <c r="D46" s="54">
        <v>226.1</v>
      </c>
      <c r="E46" s="54">
        <v>232.58</v>
      </c>
      <c r="F46" s="54">
        <v>258.42</v>
      </c>
      <c r="G46" s="54">
        <f>ROUND((F46*$G$17),2)</f>
        <v>292.27</v>
      </c>
      <c r="H46" s="54">
        <f t="shared" si="1"/>
        <v>374.98</v>
      </c>
      <c r="I46" s="51"/>
      <c r="J46" s="55"/>
    </row>
    <row r="47" spans="1:250" x14ac:dyDescent="0.25">
      <c r="A47" s="52" t="s">
        <v>69</v>
      </c>
      <c r="B47" s="60" t="s">
        <v>70</v>
      </c>
      <c r="C47" s="49" t="s">
        <v>29</v>
      </c>
      <c r="D47" s="54">
        <f>D48+D49</f>
        <v>619.49</v>
      </c>
      <c r="E47" s="54">
        <f>E48+E49</f>
        <v>637.23</v>
      </c>
      <c r="F47" s="54">
        <f>F48+F49</f>
        <v>708.04</v>
      </c>
      <c r="G47" s="54">
        <f>G48+G49</f>
        <v>800.79</v>
      </c>
      <c r="H47" s="54">
        <f t="shared" si="1"/>
        <v>1027.4100000000001</v>
      </c>
      <c r="I47" s="51"/>
      <c r="J47" s="55"/>
    </row>
    <row r="48" spans="1:250" x14ac:dyDescent="0.25">
      <c r="A48" s="52" t="s">
        <v>71</v>
      </c>
      <c r="B48" s="53" t="s">
        <v>72</v>
      </c>
      <c r="C48" s="49" t="s">
        <v>29</v>
      </c>
      <c r="D48" s="54">
        <v>595.09</v>
      </c>
      <c r="E48" s="54">
        <v>612.13</v>
      </c>
      <c r="F48" s="54">
        <v>680.15</v>
      </c>
      <c r="G48" s="54">
        <f>ROUND((F48*$G$17),2)</f>
        <v>769.25</v>
      </c>
      <c r="H48" s="54">
        <f t="shared" si="1"/>
        <v>986.95</v>
      </c>
      <c r="I48" s="51"/>
      <c r="J48" s="55"/>
    </row>
    <row r="49" spans="1:250" x14ac:dyDescent="0.25">
      <c r="A49" s="52" t="s">
        <v>73</v>
      </c>
      <c r="B49" s="68" t="s">
        <v>74</v>
      </c>
      <c r="C49" s="49" t="s">
        <v>29</v>
      </c>
      <c r="D49" s="54">
        <v>24.4</v>
      </c>
      <c r="E49" s="54">
        <v>25.1</v>
      </c>
      <c r="F49" s="54">
        <v>27.89</v>
      </c>
      <c r="G49" s="54">
        <f>ROUND((F49*$G$17),2)</f>
        <v>31.54</v>
      </c>
      <c r="H49" s="54">
        <f t="shared" si="1"/>
        <v>40.47</v>
      </c>
      <c r="I49" s="51"/>
      <c r="J49" s="55"/>
    </row>
    <row r="50" spans="1:250" x14ac:dyDescent="0.25">
      <c r="A50" s="52" t="s">
        <v>75</v>
      </c>
      <c r="B50" s="53" t="s">
        <v>76</v>
      </c>
      <c r="C50" s="49" t="s">
        <v>29</v>
      </c>
      <c r="D50" s="54">
        <v>73.97</v>
      </c>
      <c r="E50" s="54">
        <v>76.09</v>
      </c>
      <c r="F50" s="54">
        <v>84.55</v>
      </c>
      <c r="G50" s="54">
        <f>ROUND((F50*$G$17),2)</f>
        <v>95.63</v>
      </c>
      <c r="H50" s="54">
        <f t="shared" si="1"/>
        <v>122.69</v>
      </c>
      <c r="I50" s="51"/>
      <c r="J50" s="55"/>
    </row>
    <row r="51" spans="1:250" x14ac:dyDescent="0.25">
      <c r="A51" s="52" t="s">
        <v>77</v>
      </c>
      <c r="B51" s="68" t="s">
        <v>78</v>
      </c>
      <c r="C51" s="49" t="s">
        <v>29</v>
      </c>
      <c r="D51" s="54">
        <f>D52+D53+D54</f>
        <v>2553.2599999999998</v>
      </c>
      <c r="E51" s="54">
        <f>E52+E53+E54</f>
        <v>2626.38</v>
      </c>
      <c r="F51" s="54">
        <f>F52+F53+F54</f>
        <v>2918.2200000000003</v>
      </c>
      <c r="G51" s="54">
        <f>G52+G53+G54</f>
        <v>3300.5099999999998</v>
      </c>
      <c r="H51" s="54">
        <f t="shared" si="1"/>
        <v>4234.55</v>
      </c>
      <c r="I51" s="51"/>
      <c r="J51" s="55"/>
    </row>
    <row r="52" spans="1:250" x14ac:dyDescent="0.25">
      <c r="A52" s="52" t="s">
        <v>79</v>
      </c>
      <c r="B52" s="53" t="s">
        <v>80</v>
      </c>
      <c r="C52" s="49" t="s">
        <v>29</v>
      </c>
      <c r="D52" s="54">
        <v>172.61</v>
      </c>
      <c r="E52" s="54">
        <v>177.55</v>
      </c>
      <c r="F52" s="54">
        <v>197.28</v>
      </c>
      <c r="G52" s="54">
        <f>ROUND((F52*$G$17),2)</f>
        <v>223.12</v>
      </c>
      <c r="H52" s="54">
        <f t="shared" si="1"/>
        <v>286.26</v>
      </c>
      <c r="I52" s="51"/>
      <c r="J52" s="55"/>
    </row>
    <row r="53" spans="1:250" ht="25.5" x14ac:dyDescent="0.25">
      <c r="A53" s="52" t="s">
        <v>81</v>
      </c>
      <c r="B53" s="53" t="s">
        <v>82</v>
      </c>
      <c r="C53" s="49" t="s">
        <v>29</v>
      </c>
      <c r="D53" s="54">
        <v>2307.6799999999998</v>
      </c>
      <c r="E53" s="54">
        <v>2373.77</v>
      </c>
      <c r="F53" s="54">
        <v>2637.54</v>
      </c>
      <c r="G53" s="54">
        <f>ROUND((F53*$G$17),2)</f>
        <v>2983.06</v>
      </c>
      <c r="H53" s="54">
        <f t="shared" si="1"/>
        <v>3827.27</v>
      </c>
      <c r="I53" s="51"/>
      <c r="J53" s="55"/>
    </row>
    <row r="54" spans="1:250" x14ac:dyDescent="0.25">
      <c r="A54" s="52" t="s">
        <v>83</v>
      </c>
      <c r="B54" s="68" t="s">
        <v>84</v>
      </c>
      <c r="C54" s="49" t="s">
        <v>29</v>
      </c>
      <c r="D54" s="54">
        <v>72.97</v>
      </c>
      <c r="E54" s="54">
        <v>75.06</v>
      </c>
      <c r="F54" s="54">
        <v>83.4</v>
      </c>
      <c r="G54" s="54">
        <f>ROUND((F54*$G$17),2)</f>
        <v>94.33</v>
      </c>
      <c r="H54" s="54">
        <f t="shared" si="1"/>
        <v>121.03</v>
      </c>
      <c r="I54" s="51"/>
      <c r="J54" s="55"/>
    </row>
    <row r="55" spans="1:250" x14ac:dyDescent="0.25">
      <c r="A55" s="47" t="s">
        <v>85</v>
      </c>
      <c r="B55" s="48" t="s">
        <v>86</v>
      </c>
      <c r="C55" s="64" t="s">
        <v>29</v>
      </c>
      <c r="D55" s="50">
        <v>44.87</v>
      </c>
      <c r="E55" s="50">
        <v>46.16</v>
      </c>
      <c r="F55" s="50">
        <v>51.29</v>
      </c>
      <c r="G55" s="50">
        <f>ROUND((F55*$G$17),2)</f>
        <v>58.01</v>
      </c>
      <c r="H55" s="50">
        <f>ROUND((G55*$H$17),2)</f>
        <v>74.430000000000007</v>
      </c>
      <c r="I55" s="65"/>
      <c r="J55" s="55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</row>
    <row r="56" spans="1:250" x14ac:dyDescent="0.25">
      <c r="A56" s="47" t="s">
        <v>87</v>
      </c>
      <c r="B56" s="48" t="s">
        <v>88</v>
      </c>
      <c r="C56" s="64" t="s">
        <v>29</v>
      </c>
      <c r="D56" s="50">
        <v>529.78</v>
      </c>
      <c r="E56" s="50">
        <v>544.95000000000005</v>
      </c>
      <c r="F56" s="50">
        <v>605.5</v>
      </c>
      <c r="G56" s="50">
        <f>ROUND((F56*$G$17),2)</f>
        <v>684.82</v>
      </c>
      <c r="H56" s="50">
        <f>ROUND((G56*$H$17),2)</f>
        <v>878.62</v>
      </c>
      <c r="I56" s="65"/>
      <c r="J56" s="55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</row>
    <row r="57" spans="1:250" ht="25.5" x14ac:dyDescent="0.25">
      <c r="A57" s="47" t="s">
        <v>89</v>
      </c>
      <c r="B57" s="48" t="s">
        <v>90</v>
      </c>
      <c r="C57" s="64" t="s">
        <v>29</v>
      </c>
      <c r="D57" s="50">
        <f>SUM(D58:D63)</f>
        <v>1183.0900000000001</v>
      </c>
      <c r="E57" s="50">
        <f>SUM(E58:E63)</f>
        <v>1216.97</v>
      </c>
      <c r="F57" s="50">
        <f>SUM(F58:F63)</f>
        <v>1352.2</v>
      </c>
      <c r="G57" s="50">
        <f>SUM(G58:G63)</f>
        <v>1529.33</v>
      </c>
      <c r="H57" s="50">
        <f>SUM(H58:H63)</f>
        <v>1962.13</v>
      </c>
      <c r="I57" s="65"/>
      <c r="J57" s="55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</row>
    <row r="58" spans="1:250" x14ac:dyDescent="0.25">
      <c r="A58" s="52" t="s">
        <v>91</v>
      </c>
      <c r="B58" s="53" t="s">
        <v>92</v>
      </c>
      <c r="C58" s="49" t="s">
        <v>29</v>
      </c>
      <c r="D58" s="54">
        <v>127.45</v>
      </c>
      <c r="E58" s="54">
        <v>131.1</v>
      </c>
      <c r="F58" s="54">
        <v>145.66999999999999</v>
      </c>
      <c r="G58" s="54">
        <f t="shared" ref="G58:G65" si="2">ROUND((F58*$G$17),2)</f>
        <v>164.75</v>
      </c>
      <c r="H58" s="54">
        <f>ROUND((G58*$H$17),2)</f>
        <v>211.37</v>
      </c>
      <c r="I58" s="51"/>
      <c r="J58" s="55"/>
    </row>
    <row r="59" spans="1:250" x14ac:dyDescent="0.25">
      <c r="A59" s="52" t="s">
        <v>93</v>
      </c>
      <c r="B59" s="53" t="s">
        <v>94</v>
      </c>
      <c r="C59" s="49" t="s">
        <v>29</v>
      </c>
      <c r="D59" s="54">
        <v>262.04000000000002</v>
      </c>
      <c r="E59" s="54">
        <v>269.55</v>
      </c>
      <c r="F59" s="54">
        <v>299.5</v>
      </c>
      <c r="G59" s="54">
        <f t="shared" si="2"/>
        <v>338.73</v>
      </c>
      <c r="H59" s="54">
        <f t="shared" ref="H59:H65" si="3">ROUND((G59*$H$17),2)</f>
        <v>434.59</v>
      </c>
      <c r="I59" s="51"/>
      <c r="J59" s="55"/>
    </row>
    <row r="60" spans="1:250" x14ac:dyDescent="0.25">
      <c r="A60" s="52" t="s">
        <v>95</v>
      </c>
      <c r="B60" s="53" t="s">
        <v>96</v>
      </c>
      <c r="C60" s="49" t="s">
        <v>29</v>
      </c>
      <c r="D60" s="54">
        <v>426.14</v>
      </c>
      <c r="E60" s="54">
        <v>438.34</v>
      </c>
      <c r="F60" s="54">
        <v>487.05</v>
      </c>
      <c r="G60" s="54">
        <f t="shared" si="2"/>
        <v>550.85</v>
      </c>
      <c r="H60" s="54">
        <f t="shared" si="3"/>
        <v>706.74</v>
      </c>
      <c r="I60" s="51"/>
      <c r="J60" s="55"/>
    </row>
    <row r="61" spans="1:250" ht="25.5" x14ac:dyDescent="0.25">
      <c r="A61" s="52" t="s">
        <v>97</v>
      </c>
      <c r="B61" s="53" t="s">
        <v>98</v>
      </c>
      <c r="C61" s="49" t="s">
        <v>29</v>
      </c>
      <c r="D61" s="54">
        <v>50.73</v>
      </c>
      <c r="E61" s="54">
        <v>52.18</v>
      </c>
      <c r="F61" s="54">
        <v>57.98</v>
      </c>
      <c r="G61" s="54">
        <f t="shared" si="2"/>
        <v>65.58</v>
      </c>
      <c r="H61" s="54">
        <f t="shared" si="3"/>
        <v>84.14</v>
      </c>
      <c r="I61" s="51"/>
      <c r="J61" s="55"/>
    </row>
    <row r="62" spans="1:250" ht="25.5" x14ac:dyDescent="0.25">
      <c r="A62" s="52" t="s">
        <v>99</v>
      </c>
      <c r="B62" s="53" t="s">
        <v>100</v>
      </c>
      <c r="C62" s="49" t="s">
        <v>29</v>
      </c>
      <c r="D62" s="54">
        <v>44.47</v>
      </c>
      <c r="E62" s="54">
        <v>45.74</v>
      </c>
      <c r="F62" s="54">
        <v>50.82</v>
      </c>
      <c r="G62" s="54">
        <f t="shared" si="2"/>
        <v>57.48</v>
      </c>
      <c r="H62" s="54">
        <f t="shared" si="3"/>
        <v>73.75</v>
      </c>
      <c r="I62" s="51"/>
      <c r="J62" s="55"/>
    </row>
    <row r="63" spans="1:250" x14ac:dyDescent="0.25">
      <c r="A63" s="52" t="s">
        <v>101</v>
      </c>
      <c r="B63" s="53" t="s">
        <v>84</v>
      </c>
      <c r="C63" s="49" t="s">
        <v>29</v>
      </c>
      <c r="D63" s="54">
        <v>272.26</v>
      </c>
      <c r="E63" s="54">
        <v>280.06</v>
      </c>
      <c r="F63" s="54">
        <v>311.18</v>
      </c>
      <c r="G63" s="54">
        <f t="shared" si="2"/>
        <v>351.94</v>
      </c>
      <c r="H63" s="54">
        <f t="shared" si="3"/>
        <v>451.54</v>
      </c>
      <c r="I63" s="51"/>
      <c r="J63" s="55"/>
    </row>
    <row r="64" spans="1:250" x14ac:dyDescent="0.25">
      <c r="A64" s="47" t="s">
        <v>102</v>
      </c>
      <c r="B64" s="48" t="s">
        <v>103</v>
      </c>
      <c r="C64" s="64" t="s">
        <v>29</v>
      </c>
      <c r="D64" s="50">
        <v>60.42</v>
      </c>
      <c r="E64" s="50">
        <v>62.15</v>
      </c>
      <c r="F64" s="50">
        <v>69.06</v>
      </c>
      <c r="G64" s="50">
        <f t="shared" si="2"/>
        <v>78.11</v>
      </c>
      <c r="H64" s="50">
        <f t="shared" si="3"/>
        <v>100.22</v>
      </c>
      <c r="I64" s="65"/>
      <c r="J64" s="55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</row>
    <row r="65" spans="1:250" x14ac:dyDescent="0.25">
      <c r="A65" s="47" t="s">
        <v>104</v>
      </c>
      <c r="B65" s="58" t="s">
        <v>105</v>
      </c>
      <c r="C65" s="64" t="s">
        <v>29</v>
      </c>
      <c r="D65" s="50">
        <v>330.02</v>
      </c>
      <c r="E65" s="50">
        <v>339.47</v>
      </c>
      <c r="F65" s="50">
        <v>377.19</v>
      </c>
      <c r="G65" s="50">
        <f t="shared" si="2"/>
        <v>426.6</v>
      </c>
      <c r="H65" s="50">
        <f t="shared" si="3"/>
        <v>547.33000000000004</v>
      </c>
      <c r="I65" s="65"/>
      <c r="J65" s="55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</row>
    <row r="66" spans="1:250" x14ac:dyDescent="0.25">
      <c r="A66" s="47" t="s">
        <v>106</v>
      </c>
      <c r="B66" s="48" t="s">
        <v>107</v>
      </c>
      <c r="C66" s="64" t="s">
        <v>29</v>
      </c>
      <c r="D66" s="50">
        <f>D67+D68</f>
        <v>139.32</v>
      </c>
      <c r="E66" s="50">
        <f>E67+E68</f>
        <v>143.31</v>
      </c>
      <c r="F66" s="50">
        <f>F67+F68</f>
        <v>159.24</v>
      </c>
      <c r="G66" s="50">
        <f>G67+G68</f>
        <v>180.1</v>
      </c>
      <c r="H66" s="50">
        <f>H67+H68</f>
        <v>231.07</v>
      </c>
      <c r="I66" s="65"/>
      <c r="J66" s="55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</row>
    <row r="67" spans="1:250" x14ac:dyDescent="0.25">
      <c r="A67" s="52" t="s">
        <v>108</v>
      </c>
      <c r="B67" s="53" t="s">
        <v>109</v>
      </c>
      <c r="C67" s="49" t="s">
        <v>29</v>
      </c>
      <c r="D67" s="54">
        <v>103.81</v>
      </c>
      <c r="E67" s="54">
        <v>106.78</v>
      </c>
      <c r="F67" s="54">
        <v>118.65</v>
      </c>
      <c r="G67" s="54">
        <f>ROUND((F67*$G$17),2)</f>
        <v>134.19</v>
      </c>
      <c r="H67" s="54">
        <f>ROUND((G67*$H$17),2)</f>
        <v>172.17</v>
      </c>
      <c r="I67" s="51"/>
      <c r="J67" s="55"/>
    </row>
    <row r="68" spans="1:250" x14ac:dyDescent="0.25">
      <c r="A68" s="52" t="s">
        <v>110</v>
      </c>
      <c r="B68" s="53" t="s">
        <v>111</v>
      </c>
      <c r="C68" s="49" t="s">
        <v>29</v>
      </c>
      <c r="D68" s="54">
        <v>35.51</v>
      </c>
      <c r="E68" s="54">
        <v>36.53</v>
      </c>
      <c r="F68" s="54">
        <v>40.590000000000003</v>
      </c>
      <c r="G68" s="54">
        <f>ROUND((F68*$G$17),2)</f>
        <v>45.91</v>
      </c>
      <c r="H68" s="54">
        <f>ROUND((G68*$H$17),2)</f>
        <v>58.9</v>
      </c>
      <c r="I68" s="51"/>
      <c r="J68" s="55"/>
    </row>
    <row r="69" spans="1:250" x14ac:dyDescent="0.25">
      <c r="A69" s="47" t="s">
        <v>112</v>
      </c>
      <c r="B69" s="48" t="s">
        <v>113</v>
      </c>
      <c r="C69" s="64" t="s">
        <v>29</v>
      </c>
      <c r="D69" s="50">
        <f>D70</f>
        <v>0</v>
      </c>
      <c r="E69" s="50">
        <f>E70</f>
        <v>0</v>
      </c>
      <c r="F69" s="50">
        <v>0</v>
      </c>
      <c r="G69" s="50">
        <f>G70</f>
        <v>0</v>
      </c>
      <c r="H69" s="50">
        <f>H70</f>
        <v>0</v>
      </c>
      <c r="I69" s="65"/>
      <c r="J69" s="55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</row>
    <row r="70" spans="1:250" x14ac:dyDescent="0.25">
      <c r="A70" s="52" t="s">
        <v>114</v>
      </c>
      <c r="B70" s="53" t="s">
        <v>115</v>
      </c>
      <c r="C70" s="49" t="s">
        <v>29</v>
      </c>
      <c r="D70" s="54">
        <v>0</v>
      </c>
      <c r="E70" s="54">
        <v>0</v>
      </c>
      <c r="F70" s="54">
        <v>0</v>
      </c>
      <c r="G70" s="54">
        <f>ROUND((F70*$G$17),2)</f>
        <v>0</v>
      </c>
      <c r="H70" s="54">
        <f>ROUND((G70*$G$17),2)</f>
        <v>0</v>
      </c>
      <c r="I70" s="51"/>
      <c r="J70" s="55"/>
    </row>
    <row r="71" spans="1:250" x14ac:dyDescent="0.25">
      <c r="A71" s="69"/>
      <c r="B71" s="48" t="s">
        <v>116</v>
      </c>
      <c r="C71" s="49" t="s">
        <v>29</v>
      </c>
      <c r="D71" s="70">
        <f>D24+D27+D37</f>
        <v>83510.03</v>
      </c>
      <c r="E71" s="70">
        <f>E24+E27+E37</f>
        <v>85901.79</v>
      </c>
      <c r="F71" s="70">
        <f>F24+F27+F37</f>
        <v>95447.21</v>
      </c>
      <c r="G71" s="70">
        <f>G24+G27+G37</f>
        <v>107950.78</v>
      </c>
      <c r="H71" s="70">
        <f>H24+H27+H37</f>
        <v>155255.42883233161</v>
      </c>
      <c r="I71" s="51"/>
      <c r="J71" s="55"/>
    </row>
    <row r="72" spans="1:250" ht="15.75" x14ac:dyDescent="0.25">
      <c r="A72" s="71" t="s">
        <v>117</v>
      </c>
      <c r="B72" s="44" t="s">
        <v>118</v>
      </c>
      <c r="C72" s="45"/>
      <c r="D72" s="72"/>
      <c r="E72" s="73"/>
      <c r="F72" s="72"/>
      <c r="G72" s="72"/>
      <c r="H72" s="72"/>
      <c r="I72" s="74"/>
      <c r="J72" s="7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</row>
    <row r="73" spans="1:250" x14ac:dyDescent="0.25">
      <c r="A73" s="47" t="s">
        <v>119</v>
      </c>
      <c r="B73" s="48" t="s">
        <v>120</v>
      </c>
      <c r="C73" s="49" t="s">
        <v>29</v>
      </c>
      <c r="D73" s="50">
        <f>D74+D75</f>
        <v>48.9</v>
      </c>
      <c r="E73" s="50">
        <f>E74+E75</f>
        <v>0.53</v>
      </c>
      <c r="F73" s="50">
        <f>F74+F75</f>
        <v>3585.13</v>
      </c>
      <c r="G73" s="50">
        <f>G74+G75</f>
        <v>4735.8899999999994</v>
      </c>
      <c r="H73" s="50">
        <f>H74+H75</f>
        <v>7566.4732599999998</v>
      </c>
      <c r="I73" s="51"/>
      <c r="J73" s="51"/>
    </row>
    <row r="74" spans="1:250" x14ac:dyDescent="0.25">
      <c r="A74" s="52" t="s">
        <v>121</v>
      </c>
      <c r="B74" s="53" t="s">
        <v>122</v>
      </c>
      <c r="C74" s="49" t="s">
        <v>29</v>
      </c>
      <c r="D74" s="61">
        <v>48.23</v>
      </c>
      <c r="E74" s="61">
        <v>0.53</v>
      </c>
      <c r="F74" s="61">
        <v>3585.13</v>
      </c>
      <c r="G74" s="61">
        <f>[1]Аренда!M9+[1]Аренда!M8</f>
        <v>4735.3599999999997</v>
      </c>
      <c r="H74" s="54">
        <f>'[2]неподконтрольные ээ'!C10/1000</f>
        <v>7566.4732599999998</v>
      </c>
      <c r="I74" s="51"/>
      <c r="J74" s="51"/>
    </row>
    <row r="75" spans="1:250" x14ac:dyDescent="0.25">
      <c r="A75" s="52" t="s">
        <v>123</v>
      </c>
      <c r="B75" s="53" t="s">
        <v>124</v>
      </c>
      <c r="C75" s="49" t="s">
        <v>29</v>
      </c>
      <c r="D75" s="61">
        <v>0.67</v>
      </c>
      <c r="E75" s="61">
        <v>0</v>
      </c>
      <c r="F75" s="61">
        <v>0</v>
      </c>
      <c r="G75" s="61">
        <f>[1]Аренда!M10</f>
        <v>0.53</v>
      </c>
      <c r="H75" s="54">
        <f>'[2]неподконтрольные ээ'!E10/1000</f>
        <v>0</v>
      </c>
      <c r="I75" s="51"/>
      <c r="J75" s="51"/>
    </row>
    <row r="76" spans="1:250" x14ac:dyDescent="0.25">
      <c r="A76" s="47" t="s">
        <v>125</v>
      </c>
      <c r="B76" s="48" t="s">
        <v>126</v>
      </c>
      <c r="C76" s="49" t="s">
        <v>29</v>
      </c>
      <c r="D76" s="50">
        <f>D77+D78</f>
        <v>18008.45</v>
      </c>
      <c r="E76" s="50">
        <f>E77+E78</f>
        <v>16480.830000000002</v>
      </c>
      <c r="F76" s="50">
        <f>F77+F78</f>
        <v>18132.310000000001</v>
      </c>
      <c r="G76" s="50">
        <f>G77+G78</f>
        <v>21392.32</v>
      </c>
      <c r="H76" s="50">
        <f ca="1">H77+H78</f>
        <v>33445.859862268771</v>
      </c>
      <c r="I76" s="51"/>
      <c r="J76" s="51"/>
    </row>
    <row r="77" spans="1:250" x14ac:dyDescent="0.25">
      <c r="A77" s="52" t="s">
        <v>127</v>
      </c>
      <c r="B77" s="53" t="s">
        <v>128</v>
      </c>
      <c r="C77" s="49" t="s">
        <v>29</v>
      </c>
      <c r="D77" s="54">
        <f>16762.66</f>
        <v>16762.66</v>
      </c>
      <c r="E77" s="54">
        <v>15091.41</v>
      </c>
      <c r="F77" s="54">
        <v>16367.66</v>
      </c>
      <c r="G77" s="54">
        <v>18994.39</v>
      </c>
      <c r="H77" s="54">
        <f>([2]амортизация!K22+[2]амортизация!K822)/1000</f>
        <v>30794.667407274803</v>
      </c>
      <c r="I77" s="51"/>
      <c r="J77" s="51"/>
    </row>
    <row r="78" spans="1:250" x14ac:dyDescent="0.25">
      <c r="A78" s="52" t="s">
        <v>129</v>
      </c>
      <c r="B78" s="53" t="s">
        <v>130</v>
      </c>
      <c r="C78" s="49" t="s">
        <v>29</v>
      </c>
      <c r="D78" s="54">
        <v>1245.79</v>
      </c>
      <c r="E78" s="54">
        <v>1389.42</v>
      </c>
      <c r="F78" s="54">
        <v>1764.65</v>
      </c>
      <c r="G78" s="54">
        <v>2397.9299999999998</v>
      </c>
      <c r="H78" s="54">
        <f ca="1">'[2]неподконтрольные ээ'!F8/1000</f>
        <v>2651.1924549939677</v>
      </c>
      <c r="I78" s="51"/>
      <c r="J78" s="51"/>
    </row>
    <row r="79" spans="1:250" x14ac:dyDescent="0.25">
      <c r="A79" s="47" t="s">
        <v>131</v>
      </c>
      <c r="B79" s="48" t="s">
        <v>132</v>
      </c>
      <c r="C79" s="49" t="s">
        <v>29</v>
      </c>
      <c r="D79" s="50">
        <f>D80+D81+D82+D83</f>
        <v>2072.2199999999998</v>
      </c>
      <c r="E79" s="50">
        <f>E80+E81+E82+E83</f>
        <v>2269.7200000000003</v>
      </c>
      <c r="F79" s="50">
        <f>F80+F81+F82+F83</f>
        <v>2692.5</v>
      </c>
      <c r="G79" s="50">
        <f>G80+G81+G82+G83</f>
        <v>2893.15</v>
      </c>
      <c r="H79" s="50">
        <f ca="1">H80+H81+H82+H83</f>
        <v>4114.9277041633395</v>
      </c>
      <c r="I79" s="51"/>
      <c r="J79" s="51"/>
    </row>
    <row r="80" spans="1:250" x14ac:dyDescent="0.25">
      <c r="A80" s="52" t="s">
        <v>133</v>
      </c>
      <c r="B80" s="53" t="s">
        <v>134</v>
      </c>
      <c r="C80" s="49" t="s">
        <v>29</v>
      </c>
      <c r="D80" s="54">
        <v>0</v>
      </c>
      <c r="E80" s="54">
        <v>0</v>
      </c>
      <c r="F80" s="54">
        <v>0</v>
      </c>
      <c r="G80" s="54"/>
      <c r="H80" s="54">
        <v>0</v>
      </c>
      <c r="I80" s="51"/>
      <c r="J80" s="51"/>
    </row>
    <row r="81" spans="1:250" x14ac:dyDescent="0.25">
      <c r="A81" s="52" t="s">
        <v>133</v>
      </c>
      <c r="B81" s="53" t="s">
        <v>135</v>
      </c>
      <c r="C81" s="49" t="s">
        <v>29</v>
      </c>
      <c r="D81" s="54">
        <v>298.02999999999997</v>
      </c>
      <c r="E81" s="54">
        <v>297.81</v>
      </c>
      <c r="F81" s="54">
        <v>303.25</v>
      </c>
      <c r="G81" s="54">
        <f>'[1]Юр.,зем.нал'!L42</f>
        <v>526</v>
      </c>
      <c r="H81" s="54">
        <f ca="1">'[2]неподконтрольные ээ'!H25/1000</f>
        <v>532.39674541834256</v>
      </c>
      <c r="I81" s="51"/>
      <c r="J81" s="51"/>
    </row>
    <row r="82" spans="1:250" x14ac:dyDescent="0.25">
      <c r="A82" s="52" t="s">
        <v>136</v>
      </c>
      <c r="B82" s="53" t="s">
        <v>137</v>
      </c>
      <c r="C82" s="49" t="s">
        <v>29</v>
      </c>
      <c r="D82" s="54">
        <v>1745.57</v>
      </c>
      <c r="E82" s="54">
        <v>1943.34</v>
      </c>
      <c r="F82" s="54">
        <v>2366.0100000000002</v>
      </c>
      <c r="G82" s="54">
        <v>2343.94</v>
      </c>
      <c r="H82" s="54">
        <f ca="1">'[2]неподконтрольные ээ'!H26/1000</f>
        <v>3559.454184667522</v>
      </c>
      <c r="I82" s="51"/>
      <c r="J82" s="51"/>
    </row>
    <row r="83" spans="1:250" x14ac:dyDescent="0.25">
      <c r="A83" s="52" t="s">
        <v>138</v>
      </c>
      <c r="B83" s="60" t="s">
        <v>139</v>
      </c>
      <c r="C83" s="49" t="s">
        <v>29</v>
      </c>
      <c r="D83" s="54">
        <v>28.62</v>
      </c>
      <c r="E83" s="54">
        <v>28.57</v>
      </c>
      <c r="F83" s="54">
        <v>23.24</v>
      </c>
      <c r="G83" s="54">
        <v>23.21</v>
      </c>
      <c r="H83" s="54">
        <f ca="1">'[2]неподконтрольные ээ'!H27/1000</f>
        <v>23.076774077475289</v>
      </c>
      <c r="I83" s="51"/>
      <c r="J83" s="51"/>
    </row>
    <row r="84" spans="1:250" x14ac:dyDescent="0.25">
      <c r="A84" s="47" t="s">
        <v>140</v>
      </c>
      <c r="B84" s="75" t="s">
        <v>141</v>
      </c>
      <c r="C84" s="49" t="s">
        <v>29</v>
      </c>
      <c r="D84" s="50">
        <f>D27*D85/100</f>
        <v>18412.93648</v>
      </c>
      <c r="E84" s="50">
        <v>18940.3</v>
      </c>
      <c r="F84" s="50">
        <f>ROUND((F27*F85/100),2)</f>
        <v>21044.94</v>
      </c>
      <c r="G84" s="50">
        <f>ROUND((G27*G85/100),2)</f>
        <v>23801.83</v>
      </c>
      <c r="H84" s="50">
        <f>H27*H85/100</f>
        <v>35631.135435108808</v>
      </c>
      <c r="I84" s="51"/>
      <c r="J84" s="51"/>
    </row>
    <row r="85" spans="1:250" x14ac:dyDescent="0.25">
      <c r="A85" s="52" t="s">
        <v>142</v>
      </c>
      <c r="B85" s="60" t="s">
        <v>143</v>
      </c>
      <c r="C85" s="49" t="s">
        <v>14</v>
      </c>
      <c r="D85" s="26">
        <v>30.4</v>
      </c>
      <c r="E85" s="26">
        <v>30.4</v>
      </c>
      <c r="F85" s="26">
        <v>30.4</v>
      </c>
      <c r="G85" s="26">
        <v>30.4</v>
      </c>
      <c r="H85" s="26">
        <v>30.4</v>
      </c>
      <c r="I85" s="51"/>
      <c r="J85" s="51"/>
    </row>
    <row r="86" spans="1:250" x14ac:dyDescent="0.25">
      <c r="A86" s="47" t="s">
        <v>144</v>
      </c>
      <c r="B86" s="48" t="s">
        <v>145</v>
      </c>
      <c r="C86" s="49" t="s">
        <v>29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1"/>
      <c r="J86" s="51"/>
    </row>
    <row r="87" spans="1:250" ht="25.5" x14ac:dyDescent="0.25">
      <c r="A87" s="47" t="s">
        <v>146</v>
      </c>
      <c r="B87" s="48" t="s">
        <v>147</v>
      </c>
      <c r="C87" s="49" t="s">
        <v>29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1"/>
      <c r="J87" s="51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</row>
    <row r="88" spans="1:250" x14ac:dyDescent="0.25">
      <c r="A88" s="47" t="s">
        <v>148</v>
      </c>
      <c r="B88" s="48" t="s">
        <v>149</v>
      </c>
      <c r="C88" s="49" t="s">
        <v>29</v>
      </c>
      <c r="D88" s="50">
        <f>13336.34</f>
        <v>13336.34</v>
      </c>
      <c r="E88" s="50">
        <f>13973</f>
        <v>13973</v>
      </c>
      <c r="F88" s="50">
        <v>0</v>
      </c>
      <c r="G88" s="50">
        <v>0</v>
      </c>
      <c r="H88" s="70"/>
      <c r="I88" s="51"/>
      <c r="J88" s="51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</row>
    <row r="89" spans="1:250" x14ac:dyDescent="0.25">
      <c r="A89" s="47" t="s">
        <v>150</v>
      </c>
      <c r="B89" s="48" t="s">
        <v>151</v>
      </c>
      <c r="C89" s="49" t="s">
        <v>29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1"/>
      <c r="J89" s="51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/>
      <c r="IM89" s="66"/>
      <c r="IN89" s="66"/>
      <c r="IO89" s="66"/>
      <c r="IP89" s="66"/>
    </row>
    <row r="90" spans="1:250" x14ac:dyDescent="0.25">
      <c r="A90" s="47" t="s">
        <v>150</v>
      </c>
      <c r="B90" s="48" t="s">
        <v>152</v>
      </c>
      <c r="C90" s="49" t="s">
        <v>29</v>
      </c>
      <c r="D90" s="50">
        <v>0</v>
      </c>
      <c r="E90" s="50">
        <v>0</v>
      </c>
      <c r="F90" s="50">
        <v>2469.34</v>
      </c>
      <c r="G90" s="50">
        <f>[1]Резерв!E12</f>
        <v>3548.56</v>
      </c>
      <c r="H90" s="50">
        <f>'[2]сомнит долги'!B9</f>
        <v>2021.2780623000001</v>
      </c>
      <c r="I90" s="51"/>
      <c r="J90" s="51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  <c r="IH90" s="66"/>
      <c r="II90" s="66"/>
      <c r="IJ90" s="66"/>
      <c r="IK90" s="66"/>
      <c r="IL90" s="66"/>
      <c r="IM90" s="66"/>
      <c r="IN90" s="66"/>
      <c r="IO90" s="66"/>
      <c r="IP90" s="66"/>
    </row>
    <row r="91" spans="1:250" x14ac:dyDescent="0.25">
      <c r="A91" s="47" t="s">
        <v>153</v>
      </c>
      <c r="B91" s="48" t="str">
        <f>'[2]неподконтрольные ээ'!B29</f>
        <v>Услуги ФСК ЕЭС (РП-245)</v>
      </c>
      <c r="C91" s="49" t="s">
        <v>29</v>
      </c>
      <c r="D91" s="50"/>
      <c r="E91" s="50"/>
      <c r="F91" s="50"/>
      <c r="G91" s="50"/>
      <c r="H91" s="50">
        <f>'[2]неподконтрольные ээ'!C29/1000</f>
        <v>26150.773765184331</v>
      </c>
      <c r="I91" s="51"/>
      <c r="J91" s="51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  <c r="IJ91" s="66"/>
      <c r="IK91" s="66"/>
      <c r="IL91" s="66"/>
      <c r="IM91" s="66"/>
      <c r="IN91" s="66"/>
      <c r="IO91" s="66"/>
      <c r="IP91" s="66"/>
    </row>
    <row r="92" spans="1:250" x14ac:dyDescent="0.25">
      <c r="A92" s="47"/>
      <c r="B92" s="48" t="s">
        <v>154</v>
      </c>
      <c r="C92" s="49" t="s">
        <v>29</v>
      </c>
      <c r="D92" s="50">
        <f>D73+D76+D79+D84+D86+D87+D88+D89+D90</f>
        <v>51878.846480000007</v>
      </c>
      <c r="E92" s="50">
        <f>E73+E76+E79+E84+E86+E87+E88+E89+E90</f>
        <v>51664.380000000005</v>
      </c>
      <c r="F92" s="50">
        <f>F73+F76+F79+F84+F86+F87+F88+F89+F90</f>
        <v>47924.22</v>
      </c>
      <c r="G92" s="50">
        <f>G73+G76+G79+G84+G86+G87+G88+G89+G90</f>
        <v>56371.75</v>
      </c>
      <c r="H92" s="50">
        <f ca="1">H73+H76+H79+H84+H86+H87+H88+H89+H90+H91</f>
        <v>108930.44808902525</v>
      </c>
      <c r="I92" s="51"/>
      <c r="J92" s="51"/>
    </row>
    <row r="93" spans="1:250" x14ac:dyDescent="0.25">
      <c r="A93" s="47"/>
      <c r="B93" s="48" t="s">
        <v>155</v>
      </c>
      <c r="C93" s="49" t="s">
        <v>29</v>
      </c>
      <c r="D93" s="50">
        <f>D71+D92</f>
        <v>135388.87648000001</v>
      </c>
      <c r="E93" s="50">
        <f>E71+E92</f>
        <v>137566.16999999998</v>
      </c>
      <c r="F93" s="50">
        <f>F71+F92</f>
        <v>143371.43</v>
      </c>
      <c r="G93" s="50">
        <f>G71+G92</f>
        <v>164322.53</v>
      </c>
      <c r="H93" s="50">
        <f ca="1">H71+H92</f>
        <v>264185.87692135689</v>
      </c>
      <c r="I93" s="51">
        <f>G93-G90-G67-G82-G68</f>
        <v>158249.93</v>
      </c>
      <c r="J93" s="51">
        <f ca="1">H93-H67-H82-H68</f>
        <v>260395.35273668938</v>
      </c>
    </row>
    <row r="94" spans="1:250" x14ac:dyDescent="0.25">
      <c r="A94" s="76">
        <v>3</v>
      </c>
      <c r="B94" s="63" t="s">
        <v>156</v>
      </c>
      <c r="C94" s="63"/>
      <c r="D94" s="63"/>
      <c r="E94" s="63"/>
      <c r="F94" s="63"/>
      <c r="G94" s="63"/>
      <c r="H94" s="63"/>
      <c r="I94" s="51"/>
      <c r="J94" s="51"/>
    </row>
    <row r="95" spans="1:250" ht="25.5" x14ac:dyDescent="0.25">
      <c r="A95" s="76"/>
      <c r="B95" s="53" t="s">
        <v>157</v>
      </c>
      <c r="C95" s="49" t="s">
        <v>29</v>
      </c>
      <c r="D95" s="77">
        <v>0</v>
      </c>
      <c r="E95" s="77">
        <v>5109.2299999999996</v>
      </c>
      <c r="F95" s="77">
        <v>0</v>
      </c>
      <c r="G95" s="77">
        <v>0</v>
      </c>
      <c r="H95" s="77">
        <v>0</v>
      </c>
      <c r="I95" s="51"/>
      <c r="J95" s="51"/>
    </row>
    <row r="96" spans="1:250" ht="63.75" x14ac:dyDescent="0.25">
      <c r="A96" s="76"/>
      <c r="B96" s="53" t="s">
        <v>158</v>
      </c>
      <c r="C96" s="49" t="s">
        <v>29</v>
      </c>
      <c r="D96" s="77">
        <v>13187.96</v>
      </c>
      <c r="E96" s="77">
        <v>-12879.81</v>
      </c>
      <c r="F96" s="77">
        <v>17810.009999999998</v>
      </c>
      <c r="G96" s="77">
        <f>[1]Корр!F43</f>
        <v>-12627.27</v>
      </c>
      <c r="H96" s="77">
        <f>'[2]Корректировка за 2022'!F42</f>
        <v>74883.03</v>
      </c>
      <c r="I96" s="51"/>
      <c r="J96" s="51"/>
    </row>
    <row r="97" spans="1:250" x14ac:dyDescent="0.25">
      <c r="A97" s="76"/>
      <c r="B97" s="53" t="s">
        <v>159</v>
      </c>
      <c r="C97" s="49" t="s">
        <v>29</v>
      </c>
      <c r="D97" s="77">
        <v>1508.41</v>
      </c>
      <c r="E97" s="77">
        <v>1610.92</v>
      </c>
      <c r="F97" s="77">
        <v>2013.59</v>
      </c>
      <c r="G97" s="77">
        <f>[1]Корр!F12</f>
        <v>1839.69</v>
      </c>
      <c r="H97" s="77">
        <f>'[2]Корректировка за 2022'!F11</f>
        <v>2796.31</v>
      </c>
      <c r="I97" s="51"/>
      <c r="J97" s="51"/>
    </row>
    <row r="98" spans="1:250" x14ac:dyDescent="0.25">
      <c r="A98" s="69"/>
      <c r="B98" s="48" t="s">
        <v>160</v>
      </c>
      <c r="C98" s="64" t="s">
        <v>29</v>
      </c>
      <c r="D98" s="70">
        <f>D93+D95+D96+D97</f>
        <v>150085.24648</v>
      </c>
      <c r="E98" s="70">
        <f>E93+E95+E96+E97</f>
        <v>131406.51</v>
      </c>
      <c r="F98" s="70">
        <f>F93+F95+F96+F97</f>
        <v>163195.03</v>
      </c>
      <c r="G98" s="70">
        <f>G93+G95+G96+G97</f>
        <v>153534.95000000001</v>
      </c>
      <c r="H98" s="70">
        <f ca="1">H93+H95+H96+H97</f>
        <v>341865.21692135691</v>
      </c>
      <c r="I98" s="51"/>
      <c r="J98" s="51"/>
    </row>
    <row r="99" spans="1:250" x14ac:dyDescent="0.25">
      <c r="A99" s="76">
        <v>4</v>
      </c>
      <c r="B99" s="53" t="s">
        <v>161</v>
      </c>
      <c r="C99" s="49" t="s">
        <v>162</v>
      </c>
      <c r="D99" s="78">
        <v>387.26400000000001</v>
      </c>
      <c r="E99" s="78">
        <v>358.11599999999999</v>
      </c>
      <c r="F99" s="78">
        <v>394.37900000000002</v>
      </c>
      <c r="G99" s="78">
        <v>399.09300000000002</v>
      </c>
      <c r="H99" s="78">
        <f>'[2]4'!O27</f>
        <v>469.44709400000005</v>
      </c>
      <c r="I99" s="51"/>
      <c r="J99" s="51"/>
    </row>
    <row r="100" spans="1:250" x14ac:dyDescent="0.25">
      <c r="A100" s="76"/>
      <c r="B100" s="53" t="s">
        <v>163</v>
      </c>
      <c r="C100" s="79" t="s">
        <v>164</v>
      </c>
      <c r="D100" s="78">
        <v>55.106000000000002</v>
      </c>
      <c r="E100" s="78">
        <v>51.779000000000003</v>
      </c>
      <c r="F100" s="78">
        <v>57.939</v>
      </c>
      <c r="G100" s="78">
        <v>55.792000000000002</v>
      </c>
      <c r="H100" s="78">
        <f>'[2]5'!O27-'[2]5'!O26</f>
        <v>70.832000000000008</v>
      </c>
      <c r="I100" s="51"/>
      <c r="J100" s="51"/>
    </row>
    <row r="101" spans="1:250" x14ac:dyDescent="0.25">
      <c r="A101" s="76">
        <v>5</v>
      </c>
      <c r="B101" s="80" t="s">
        <v>165</v>
      </c>
      <c r="C101" s="49" t="s">
        <v>162</v>
      </c>
      <c r="D101" s="78">
        <v>5.8979999999999997</v>
      </c>
      <c r="E101" s="78">
        <v>5.4539999999999997</v>
      </c>
      <c r="F101" s="78">
        <v>6.0060000000000002</v>
      </c>
      <c r="G101" s="78">
        <v>6.0780000000000003</v>
      </c>
      <c r="H101" s="78">
        <f>'[2]4'!O24</f>
        <v>7.1490810000000007</v>
      </c>
      <c r="I101" s="81"/>
      <c r="J101" s="51"/>
    </row>
    <row r="102" spans="1:250" x14ac:dyDescent="0.25">
      <c r="A102" s="76"/>
      <c r="B102" s="48" t="s">
        <v>166</v>
      </c>
      <c r="C102" s="49" t="s">
        <v>167</v>
      </c>
      <c r="D102" s="70">
        <v>2426.98207</v>
      </c>
      <c r="E102" s="70">
        <v>2543.13</v>
      </c>
      <c r="F102" s="70">
        <v>2688.939393939394</v>
      </c>
      <c r="G102" s="50">
        <v>3040.41</v>
      </c>
      <c r="H102" s="70">
        <f>G102*H14</f>
        <v>3259.31952</v>
      </c>
      <c r="I102" s="51"/>
      <c r="J102" s="51"/>
    </row>
    <row r="103" spans="1:250" x14ac:dyDescent="0.25">
      <c r="A103" s="76"/>
      <c r="B103" s="48" t="s">
        <v>168</v>
      </c>
      <c r="C103" s="49" t="s">
        <v>29</v>
      </c>
      <c r="D103" s="70">
        <f>D101*D102</f>
        <v>14314.340248859999</v>
      </c>
      <c r="E103" s="70">
        <v>13870.21</v>
      </c>
      <c r="F103" s="70">
        <v>16149.77</v>
      </c>
      <c r="G103" s="70">
        <f>ROUND(G101*G102,2)</f>
        <v>18479.61</v>
      </c>
      <c r="H103" s="70">
        <f>H101*H102</f>
        <v>23301.139253361122</v>
      </c>
      <c r="I103" s="51"/>
      <c r="J103" s="51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</row>
    <row r="104" spans="1:250" x14ac:dyDescent="0.25">
      <c r="A104" s="79"/>
      <c r="B104" s="82" t="s">
        <v>169</v>
      </c>
      <c r="C104" s="49" t="s">
        <v>29</v>
      </c>
      <c r="D104" s="70">
        <f>D98+D103</f>
        <v>164399.58672886001</v>
      </c>
      <c r="E104" s="70">
        <f>E98+E103</f>
        <v>145276.72</v>
      </c>
      <c r="F104" s="70">
        <f>F98+F103</f>
        <v>179344.8</v>
      </c>
      <c r="G104" s="70">
        <f>G98+G103</f>
        <v>172014.56</v>
      </c>
      <c r="H104" s="70">
        <f ca="1">H98+H103</f>
        <v>365166.35617471801</v>
      </c>
      <c r="I104" s="51"/>
      <c r="J104" s="51"/>
    </row>
    <row r="107" spans="1:250" ht="15.75" x14ac:dyDescent="0.25">
      <c r="G107" s="35"/>
    </row>
  </sheetData>
  <mergeCells count="20">
    <mergeCell ref="A99:A100"/>
    <mergeCell ref="A101:A103"/>
    <mergeCell ref="G21:G22"/>
    <mergeCell ref="H21:H22"/>
    <mergeCell ref="A28:A30"/>
    <mergeCell ref="A31:A33"/>
    <mergeCell ref="A34:A36"/>
    <mergeCell ref="A94:A97"/>
    <mergeCell ref="A21:A22"/>
    <mergeCell ref="B21:B22"/>
    <mergeCell ref="C21:C22"/>
    <mergeCell ref="D21:D22"/>
    <mergeCell ref="E21:E22"/>
    <mergeCell ref="F21:F22"/>
    <mergeCell ref="A4:H4"/>
    <mergeCell ref="A6:C6"/>
    <mergeCell ref="A8:H8"/>
    <mergeCell ref="A13:H13"/>
    <mergeCell ref="A19:C19"/>
    <mergeCell ref="A20:C20"/>
  </mergeCells>
  <pageMargins left="0.39370078740157483" right="0.39370078740157483" top="0.39370078740157483" bottom="0.39370078740157483" header="0.31496062992125984" footer="0.31496062992125984"/>
  <pageSetup paperSize="9" scale="93" fitToHeight="3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Колышницына Наталья Владимировна</dc:creator>
  <cp:lastModifiedBy>Колышницына Наталья Владимировна</cp:lastModifiedBy>
  <cp:lastPrinted>2023-10-31T11:26:23Z</cp:lastPrinted>
  <dcterms:created xsi:type="dcterms:W3CDTF">2023-10-31T11:25:36Z</dcterms:created>
  <dcterms:modified xsi:type="dcterms:W3CDTF">2023-10-31T11:26:49Z</dcterms:modified>
</cp:coreProperties>
</file>