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MEN\для меня\Для РЭК\Тарифы 2025\ЭТК\Информация для размещения на сайте\"/>
    </mc:Choice>
  </mc:AlternateContent>
  <xr:revisionPtr revIDLastSave="0" documentId="13_ncr:1_{EF6327FD-D6ED-4ECD-95E0-70EE8F56EFF4}" xr6:coauthVersionLast="47" xr6:coauthVersionMax="47" xr10:uidLastSave="{00000000-0000-0000-0000-000000000000}"/>
  <bookViews>
    <workbookView xWindow="-120" yWindow="-120" windowWidth="29040" windowHeight="15840" xr2:uid="{8331638B-52E1-417A-9266-B8CEFD9055CC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J99" i="1" s="1"/>
  <c r="K99" i="1" s="1"/>
  <c r="L99" i="1" s="1"/>
  <c r="M99" i="1" s="1"/>
  <c r="H103" i="1"/>
  <c r="G103" i="1"/>
  <c r="D103" i="1"/>
  <c r="L102" i="1"/>
  <c r="M102" i="1" s="1"/>
  <c r="I102" i="1"/>
  <c r="J102" i="1" s="1"/>
  <c r="K102" i="1" s="1"/>
  <c r="I100" i="1"/>
  <c r="J100" i="1" s="1"/>
  <c r="K100" i="1" s="1"/>
  <c r="L100" i="1" s="1"/>
  <c r="M100" i="1" s="1"/>
  <c r="I97" i="1"/>
  <c r="G97" i="1"/>
  <c r="I96" i="1"/>
  <c r="G96" i="1"/>
  <c r="I95" i="1"/>
  <c r="I91" i="1"/>
  <c r="J91" i="1" s="1"/>
  <c r="K91" i="1" s="1"/>
  <c r="L91" i="1" s="1"/>
  <c r="M91" i="1" s="1"/>
  <c r="B91" i="1"/>
  <c r="M90" i="1"/>
  <c r="J90" i="1"/>
  <c r="K90" i="1" s="1"/>
  <c r="L90" i="1" s="1"/>
  <c r="G90" i="1"/>
  <c r="E88" i="1"/>
  <c r="D88" i="1"/>
  <c r="I84" i="1"/>
  <c r="I83" i="1"/>
  <c r="J83" i="1" s="1"/>
  <c r="K83" i="1" s="1"/>
  <c r="L83" i="1" s="1"/>
  <c r="M83" i="1" s="1"/>
  <c r="M82" i="1"/>
  <c r="I82" i="1"/>
  <c r="J82" i="1" s="1"/>
  <c r="K82" i="1" s="1"/>
  <c r="L82" i="1" s="1"/>
  <c r="I81" i="1"/>
  <c r="J81" i="1" s="1"/>
  <c r="G81" i="1"/>
  <c r="G79" i="1" s="1"/>
  <c r="H79" i="1"/>
  <c r="F79" i="1"/>
  <c r="E79" i="1"/>
  <c r="D79" i="1"/>
  <c r="J78" i="1"/>
  <c r="K78" i="1" s="1"/>
  <c r="L78" i="1" s="1"/>
  <c r="M78" i="1" s="1"/>
  <c r="I78" i="1"/>
  <c r="I77" i="1"/>
  <c r="J77" i="1" s="1"/>
  <c r="K77" i="1" s="1"/>
  <c r="D77" i="1"/>
  <c r="D76" i="1" s="1"/>
  <c r="H76" i="1"/>
  <c r="G76" i="1"/>
  <c r="F76" i="1"/>
  <c r="E76" i="1"/>
  <c r="I75" i="1"/>
  <c r="J75" i="1" s="1"/>
  <c r="K75" i="1" s="1"/>
  <c r="L75" i="1" s="1"/>
  <c r="M75" i="1" s="1"/>
  <c r="G75" i="1"/>
  <c r="I74" i="1"/>
  <c r="I73" i="1" s="1"/>
  <c r="G74" i="1"/>
  <c r="H73" i="1"/>
  <c r="H92" i="1" s="1"/>
  <c r="G73" i="1"/>
  <c r="F73" i="1"/>
  <c r="E73" i="1"/>
  <c r="D73" i="1"/>
  <c r="G70" i="1"/>
  <c r="G69" i="1" s="1"/>
  <c r="M69" i="1"/>
  <c r="L69" i="1"/>
  <c r="K69" i="1"/>
  <c r="J69" i="1"/>
  <c r="I69" i="1"/>
  <c r="H69" i="1"/>
  <c r="E69" i="1"/>
  <c r="D69" i="1"/>
  <c r="I68" i="1"/>
  <c r="I67" i="1"/>
  <c r="H66" i="1"/>
  <c r="F66" i="1"/>
  <c r="E66" i="1"/>
  <c r="D66" i="1"/>
  <c r="I65" i="1"/>
  <c r="I64" i="1"/>
  <c r="I62" i="1"/>
  <c r="I61" i="1"/>
  <c r="G61" i="1"/>
  <c r="I60" i="1"/>
  <c r="I63" i="1" s="1"/>
  <c r="I59" i="1"/>
  <c r="I58" i="1"/>
  <c r="I57" i="1"/>
  <c r="F57" i="1"/>
  <c r="E57" i="1"/>
  <c r="D57" i="1"/>
  <c r="I56" i="1"/>
  <c r="I54" i="1"/>
  <c r="I53" i="1"/>
  <c r="I52" i="1"/>
  <c r="F51" i="1"/>
  <c r="E51" i="1"/>
  <c r="D51" i="1"/>
  <c r="I50" i="1"/>
  <c r="I49" i="1"/>
  <c r="I48" i="1"/>
  <c r="F47" i="1"/>
  <c r="F41" i="1" s="1"/>
  <c r="F37" i="1" s="1"/>
  <c r="E47" i="1"/>
  <c r="E41" i="1" s="1"/>
  <c r="D47" i="1"/>
  <c r="D41" i="1" s="1"/>
  <c r="I45" i="1"/>
  <c r="I44" i="1"/>
  <c r="I46" i="1" s="1"/>
  <c r="F43" i="1"/>
  <c r="E43" i="1"/>
  <c r="D43" i="1"/>
  <c r="I42" i="1"/>
  <c r="H41" i="1"/>
  <c r="I39" i="1"/>
  <c r="I38" i="1"/>
  <c r="H38" i="1"/>
  <c r="H37" i="1" s="1"/>
  <c r="F38" i="1"/>
  <c r="E38" i="1"/>
  <c r="D38" i="1"/>
  <c r="I36" i="1"/>
  <c r="F36" i="1"/>
  <c r="E36" i="1"/>
  <c r="G35" i="1"/>
  <c r="D34" i="1"/>
  <c r="I33" i="1"/>
  <c r="F33" i="1"/>
  <c r="E33" i="1"/>
  <c r="G32" i="1"/>
  <c r="D31" i="1"/>
  <c r="I30" i="1"/>
  <c r="F30" i="1"/>
  <c r="E30" i="1"/>
  <c r="G29" i="1"/>
  <c r="D28" i="1"/>
  <c r="I27" i="1"/>
  <c r="H27" i="1"/>
  <c r="F27" i="1"/>
  <c r="F84" i="1" s="1"/>
  <c r="E27" i="1"/>
  <c r="I26" i="1"/>
  <c r="I25" i="1" s="1"/>
  <c r="I24" i="1" s="1"/>
  <c r="H25" i="1"/>
  <c r="F25" i="1"/>
  <c r="F24" i="1" s="1"/>
  <c r="E25" i="1"/>
  <c r="E24" i="1" s="1"/>
  <c r="D25" i="1"/>
  <c r="H24" i="1"/>
  <c r="D24" i="1"/>
  <c r="M17" i="1"/>
  <c r="F17" i="1"/>
  <c r="M16" i="1"/>
  <c r="L16" i="1"/>
  <c r="L17" i="1" s="1"/>
  <c r="K16" i="1"/>
  <c r="K17" i="1" s="1"/>
  <c r="H16" i="1"/>
  <c r="H17" i="1" s="1"/>
  <c r="G16" i="1"/>
  <c r="G17" i="1" s="1"/>
  <c r="F16" i="1"/>
  <c r="E16" i="1"/>
  <c r="D16" i="1"/>
  <c r="D17" i="1" s="1"/>
  <c r="I15" i="1"/>
  <c r="G14" i="1"/>
  <c r="F14" i="1"/>
  <c r="E14" i="1"/>
  <c r="E17" i="1" s="1"/>
  <c r="I76" i="1" l="1"/>
  <c r="G56" i="1"/>
  <c r="G49" i="1"/>
  <c r="G42" i="1"/>
  <c r="G68" i="1"/>
  <c r="G64" i="1"/>
  <c r="G62" i="1"/>
  <c r="G60" i="1"/>
  <c r="G58" i="1"/>
  <c r="G55" i="1"/>
  <c r="G53" i="1"/>
  <c r="G63" i="1"/>
  <c r="G52" i="1"/>
  <c r="G48" i="1"/>
  <c r="G45" i="1"/>
  <c r="G65" i="1"/>
  <c r="G54" i="1"/>
  <c r="G44" i="1"/>
  <c r="G40" i="1"/>
  <c r="G34" i="1"/>
  <c r="G36" i="1" s="1"/>
  <c r="G67" i="1"/>
  <c r="G66" i="1" s="1"/>
  <c r="G59" i="1"/>
  <c r="G39" i="1"/>
  <c r="G38" i="1" s="1"/>
  <c r="D37" i="1"/>
  <c r="I43" i="1"/>
  <c r="F71" i="1"/>
  <c r="G46" i="1"/>
  <c r="E92" i="1"/>
  <c r="J79" i="1"/>
  <c r="K81" i="1"/>
  <c r="I51" i="1"/>
  <c r="K76" i="1"/>
  <c r="L77" i="1"/>
  <c r="J16" i="1"/>
  <c r="J17" i="1" s="1"/>
  <c r="J26" i="1" s="1"/>
  <c r="I16" i="1"/>
  <c r="I17" i="1" s="1"/>
  <c r="H71" i="1"/>
  <c r="H93" i="1" s="1"/>
  <c r="H98" i="1" s="1"/>
  <c r="H104" i="1" s="1"/>
  <c r="G50" i="1"/>
  <c r="G26" i="1"/>
  <c r="G25" i="1" s="1"/>
  <c r="G24" i="1" s="1"/>
  <c r="G28" i="1"/>
  <c r="G31" i="1"/>
  <c r="G33" i="1" s="1"/>
  <c r="I47" i="1"/>
  <c r="J63" i="1"/>
  <c r="K63" i="1" s="1"/>
  <c r="L63" i="1" s="1"/>
  <c r="M63" i="1" s="1"/>
  <c r="F92" i="1"/>
  <c r="J61" i="1"/>
  <c r="K61" i="1" s="1"/>
  <c r="L61" i="1" s="1"/>
  <c r="M61" i="1" s="1"/>
  <c r="E37" i="1"/>
  <c r="E71" i="1" s="1"/>
  <c r="E93" i="1" s="1"/>
  <c r="E98" i="1" s="1"/>
  <c r="E104" i="1" s="1"/>
  <c r="I66" i="1"/>
  <c r="J76" i="1"/>
  <c r="D27" i="1"/>
  <c r="D84" i="1" s="1"/>
  <c r="D92" i="1" s="1"/>
  <c r="J74" i="1"/>
  <c r="I79" i="1"/>
  <c r="I92" i="1" s="1"/>
  <c r="K26" i="1" l="1"/>
  <c r="J25" i="1"/>
  <c r="J24" i="1" s="1"/>
  <c r="J73" i="1"/>
  <c r="K74" i="1"/>
  <c r="G30" i="1"/>
  <c r="G27" i="1"/>
  <c r="G84" i="1" s="1"/>
  <c r="G92" i="1" s="1"/>
  <c r="L76" i="1"/>
  <c r="M77" i="1"/>
  <c r="M76" i="1" s="1"/>
  <c r="J49" i="1"/>
  <c r="K49" i="1" s="1"/>
  <c r="L49" i="1" s="1"/>
  <c r="M49" i="1" s="1"/>
  <c r="I41" i="1"/>
  <c r="I37" i="1" s="1"/>
  <c r="I71" i="1" s="1"/>
  <c r="G43" i="1"/>
  <c r="J57" i="1"/>
  <c r="K57" i="1" s="1"/>
  <c r="L57" i="1" s="1"/>
  <c r="M57" i="1" s="1"/>
  <c r="J48" i="1"/>
  <c r="D71" i="1"/>
  <c r="D93" i="1" s="1"/>
  <c r="D98" i="1" s="1"/>
  <c r="D104" i="1" s="1"/>
  <c r="K79" i="1"/>
  <c r="L81" i="1"/>
  <c r="F93" i="1"/>
  <c r="F98" i="1" s="1"/>
  <c r="F104" i="1" s="1"/>
  <c r="G51" i="1"/>
  <c r="G41" i="1" s="1"/>
  <c r="G37" i="1" s="1"/>
  <c r="G71" i="1" s="1"/>
  <c r="G93" i="1" s="1"/>
  <c r="G98" i="1" s="1"/>
  <c r="G104" i="1" s="1"/>
  <c r="G57" i="1"/>
  <c r="J55" i="1"/>
  <c r="K55" i="1" s="1"/>
  <c r="L55" i="1" s="1"/>
  <c r="M55" i="1" s="1"/>
  <c r="J28" i="1"/>
  <c r="J58" i="1"/>
  <c r="K58" i="1" s="1"/>
  <c r="L58" i="1" s="1"/>
  <c r="M58" i="1" s="1"/>
  <c r="J40" i="1"/>
  <c r="K40" i="1" s="1"/>
  <c r="L40" i="1" s="1"/>
  <c r="M40" i="1" s="1"/>
  <c r="J39" i="1"/>
  <c r="J34" i="1"/>
  <c r="J68" i="1"/>
  <c r="K68" i="1" s="1"/>
  <c r="L68" i="1" s="1"/>
  <c r="M68" i="1" s="1"/>
  <c r="J60" i="1"/>
  <c r="K60" i="1" s="1"/>
  <c r="L60" i="1" s="1"/>
  <c r="M60" i="1" s="1"/>
  <c r="J31" i="1"/>
  <c r="J62" i="1"/>
  <c r="K62" i="1" s="1"/>
  <c r="L62" i="1" s="1"/>
  <c r="M62" i="1" s="1"/>
  <c r="J46" i="1"/>
  <c r="K46" i="1" s="1"/>
  <c r="L46" i="1" s="1"/>
  <c r="M46" i="1" s="1"/>
  <c r="J64" i="1"/>
  <c r="K64" i="1" s="1"/>
  <c r="L64" i="1" s="1"/>
  <c r="M64" i="1" s="1"/>
  <c r="J44" i="1"/>
  <c r="J53" i="1"/>
  <c r="K53" i="1" s="1"/>
  <c r="L53" i="1" s="1"/>
  <c r="M53" i="1" s="1"/>
  <c r="J45" i="1"/>
  <c r="K45" i="1" s="1"/>
  <c r="L45" i="1" s="1"/>
  <c r="M45" i="1" s="1"/>
  <c r="J65" i="1"/>
  <c r="K65" i="1" s="1"/>
  <c r="L65" i="1" s="1"/>
  <c r="M65" i="1" s="1"/>
  <c r="J59" i="1"/>
  <c r="K59" i="1" s="1"/>
  <c r="L59" i="1" s="1"/>
  <c r="M59" i="1" s="1"/>
  <c r="J50" i="1"/>
  <c r="K50" i="1" s="1"/>
  <c r="L50" i="1" s="1"/>
  <c r="M50" i="1" s="1"/>
  <c r="J42" i="1"/>
  <c r="G47" i="1"/>
  <c r="J54" i="1"/>
  <c r="K54" i="1" s="1"/>
  <c r="L54" i="1" s="1"/>
  <c r="M54" i="1" s="1"/>
  <c r="J67" i="1"/>
  <c r="J52" i="1"/>
  <c r="J56" i="1"/>
  <c r="K56" i="1" s="1"/>
  <c r="L56" i="1" s="1"/>
  <c r="M56" i="1" s="1"/>
  <c r="K52" i="1" l="1"/>
  <c r="J51" i="1"/>
  <c r="K42" i="1"/>
  <c r="J36" i="1"/>
  <c r="K34" i="1"/>
  <c r="J30" i="1"/>
  <c r="K28" i="1"/>
  <c r="J27" i="1"/>
  <c r="J84" i="1" s="1"/>
  <c r="J92" i="1" s="1"/>
  <c r="J43" i="1"/>
  <c r="K44" i="1"/>
  <c r="J33" i="1"/>
  <c r="K31" i="1"/>
  <c r="J38" i="1"/>
  <c r="K39" i="1"/>
  <c r="M81" i="1"/>
  <c r="M79" i="1" s="1"/>
  <c r="L79" i="1"/>
  <c r="I93" i="1"/>
  <c r="I98" i="1" s="1"/>
  <c r="N71" i="1"/>
  <c r="L74" i="1"/>
  <c r="K73" i="1"/>
  <c r="K67" i="1"/>
  <c r="J66" i="1"/>
  <c r="K48" i="1"/>
  <c r="J47" i="1"/>
  <c r="K25" i="1"/>
  <c r="K24" i="1" s="1"/>
  <c r="L26" i="1"/>
  <c r="J41" i="1" l="1"/>
  <c r="K43" i="1"/>
  <c r="L44" i="1"/>
  <c r="K30" i="1"/>
  <c r="L28" i="1"/>
  <c r="K27" i="1"/>
  <c r="K84" i="1" s="1"/>
  <c r="K92" i="1"/>
  <c r="J37" i="1"/>
  <c r="J71" i="1" s="1"/>
  <c r="J93" i="1" s="1"/>
  <c r="J98" i="1" s="1"/>
  <c r="L48" i="1"/>
  <c r="K47" i="1"/>
  <c r="L73" i="1"/>
  <c r="M74" i="1"/>
  <c r="M73" i="1" s="1"/>
  <c r="L31" i="1"/>
  <c r="K33" i="1"/>
  <c r="K36" i="1"/>
  <c r="L34" i="1"/>
  <c r="L67" i="1"/>
  <c r="K66" i="1"/>
  <c r="K38" i="1"/>
  <c r="L39" i="1"/>
  <c r="L42" i="1"/>
  <c r="K41" i="1"/>
  <c r="L25" i="1"/>
  <c r="L24" i="1" s="1"/>
  <c r="M26" i="1"/>
  <c r="M25" i="1" s="1"/>
  <c r="M24" i="1" s="1"/>
  <c r="K51" i="1"/>
  <c r="L52" i="1"/>
  <c r="K37" i="1" l="1"/>
  <c r="K71" i="1" s="1"/>
  <c r="K93" i="1" s="1"/>
  <c r="K98" i="1" s="1"/>
  <c r="M34" i="1"/>
  <c r="M36" i="1" s="1"/>
  <c r="L36" i="1"/>
  <c r="M44" i="1"/>
  <c r="M43" i="1" s="1"/>
  <c r="L43" i="1"/>
  <c r="L41" i="1" s="1"/>
  <c r="M42" i="1"/>
  <c r="M41" i="1" s="1"/>
  <c r="L66" i="1"/>
  <c r="M67" i="1"/>
  <c r="M66" i="1" s="1"/>
  <c r="L51" i="1"/>
  <c r="M52" i="1"/>
  <c r="M51" i="1" s="1"/>
  <c r="M39" i="1"/>
  <c r="M38" i="1" s="1"/>
  <c r="L38" i="1"/>
  <c r="L33" i="1"/>
  <c r="M31" i="1"/>
  <c r="M33" i="1" s="1"/>
  <c r="L47" i="1"/>
  <c r="M48" i="1"/>
  <c r="M47" i="1" s="1"/>
  <c r="L27" i="1"/>
  <c r="L84" i="1" s="1"/>
  <c r="L92" i="1" s="1"/>
  <c r="L30" i="1"/>
  <c r="M28" i="1"/>
  <c r="L37" i="1" l="1"/>
  <c r="L71" i="1" s="1"/>
  <c r="L93" i="1" s="1"/>
  <c r="L98" i="1" s="1"/>
  <c r="M30" i="1"/>
  <c r="M27" i="1"/>
  <c r="M37" i="1"/>
  <c r="M84" i="1" l="1"/>
  <c r="M92" i="1" s="1"/>
  <c r="M71" i="1"/>
  <c r="M93" i="1" l="1"/>
  <c r="M98" i="1" s="1"/>
  <c r="I11" i="1" l="1"/>
  <c r="J11" i="1"/>
  <c r="K11" i="1"/>
  <c r="L11" i="1"/>
  <c r="M11" i="1"/>
  <c r="I101" i="1"/>
  <c r="J101" i="1"/>
  <c r="K101" i="1"/>
  <c r="L101" i="1"/>
  <c r="M101" i="1"/>
  <c r="I103" i="1"/>
  <c r="J103" i="1"/>
  <c r="K103" i="1"/>
  <c r="L103" i="1"/>
  <c r="M103" i="1"/>
  <c r="I104" i="1"/>
  <c r="J104" i="1"/>
  <c r="K104" i="1"/>
  <c r="L104" i="1"/>
  <c r="M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Колышницына Наталья Владимировна</author>
  </authors>
  <commentList>
    <comment ref="I95" authorId="0" shapeId="0" xr:uid="{633912C3-4123-4272-A851-391FF8C130BD}">
      <text>
        <r>
          <rPr>
            <b/>
            <sz val="9"/>
            <color indexed="81"/>
            <rFont val="Tahoma"/>
            <family val="2"/>
            <charset val="204"/>
          </rPr>
          <t>Колышницына Наталья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корр-ка выручки по ГП за 2022 г.</t>
        </r>
      </text>
    </comment>
  </commentList>
</comments>
</file>

<file path=xl/sharedStrings.xml><?xml version="1.0" encoding="utf-8"?>
<sst xmlns="http://schemas.openxmlformats.org/spreadsheetml/2006/main" count="254" uniqueCount="174">
  <si>
    <t xml:space="preserve">Значения параметров расчета тарифов </t>
  </si>
  <si>
    <t xml:space="preserve"> № п/п</t>
  </si>
  <si>
    <t>Показатели</t>
  </si>
  <si>
    <t>Ед. изм.</t>
  </si>
  <si>
    <t>2025 (базовый уровень)</t>
  </si>
  <si>
    <t>Долгосрочные параметры (не меняются в течение долгосрочного периода регулирования)</t>
  </si>
  <si>
    <t>Индекс эффективности операционных расходов</t>
  </si>
  <si>
    <t>Коэффициент эластичности подконтрольных расходов по количеству активов</t>
  </si>
  <si>
    <t>Величина технологического расхода (потерь) электрической энергии</t>
  </si>
  <si>
    <t>%</t>
  </si>
  <si>
    <t>Максимальный процент корректировки НВВ (Пкорi)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</si>
  <si>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</si>
  <si>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</si>
  <si>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</si>
  <si>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</si>
  <si>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</si>
  <si>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Итого коэффициент индексации</t>
  </si>
  <si>
    <t>Расчет подконтрольных и неподконтрольных расходов</t>
  </si>
  <si>
    <t>1.</t>
  </si>
  <si>
    <t>Подконтрольные расходы</t>
  </si>
  <si>
    <t>1.1</t>
  </si>
  <si>
    <t>Материальные затраты</t>
  </si>
  <si>
    <t>тыс.руб.</t>
  </si>
  <si>
    <t>1.1.1</t>
  </si>
  <si>
    <t>Сырье, материалы, запасные части, инструменты</t>
  </si>
  <si>
    <t>1.1.1.1</t>
  </si>
  <si>
    <t>Канцелярские расходы, подписка и литература</t>
  </si>
  <si>
    <t>1.2</t>
  </si>
  <si>
    <t>Расходы на оплату труда</t>
  </si>
  <si>
    <t>1.2.1</t>
  </si>
  <si>
    <t>ФОТ Производственного персонала</t>
  </si>
  <si>
    <t>Численность ПП</t>
  </si>
  <si>
    <t>чел.</t>
  </si>
  <si>
    <t>Средняя заработная плата ПП</t>
  </si>
  <si>
    <t>руб.</t>
  </si>
  <si>
    <t>1.2.2</t>
  </si>
  <si>
    <t>ФОТ Общехозяйственного персонала</t>
  </si>
  <si>
    <t>Численность ОХР</t>
  </si>
  <si>
    <t>Средняя заработная плата ОХР</t>
  </si>
  <si>
    <t>1.2.3</t>
  </si>
  <si>
    <t>ФОТ Цехового персонала</t>
  </si>
  <si>
    <t>Численность ЦП</t>
  </si>
  <si>
    <t>Средняя заработная плата ЦП</t>
  </si>
  <si>
    <t>1.3</t>
  </si>
  <si>
    <t>Прочие расходы, всего, в том числе:</t>
  </si>
  <si>
    <t>1.3.1</t>
  </si>
  <si>
    <t>Ремонт основных фондов</t>
  </si>
  <si>
    <t>1.3.1.1</t>
  </si>
  <si>
    <t>сырье, материалы, запасные части</t>
  </si>
  <si>
    <t>1.3.1.2</t>
  </si>
  <si>
    <t xml:space="preserve">услуги сторонних ремонтных организаций 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</si>
  <si>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</si>
  <si>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</si>
  <si>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</si>
  <si>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</si>
  <si>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</si>
  <si>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</si>
  <si>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1.3.2.2.1</t>
  </si>
  <si>
    <t>услуги пожарной и вневедомственной охраны</t>
  </si>
  <si>
    <t>1.3.2.2.2</t>
  </si>
  <si>
    <t>прочие коммунальные услуги</t>
  </si>
  <si>
    <t>1.3.2.2.3</t>
  </si>
  <si>
    <t>прочие затраты на содержание зданий</t>
  </si>
  <si>
    <t>1.3.2.3</t>
  </si>
  <si>
    <t>расходы на юридические и информационные услуги</t>
  </si>
  <si>
    <t>1.3.2.3.1</t>
  </si>
  <si>
    <t>юридические услуги</t>
  </si>
  <si>
    <t>1.3.2.3.2</t>
  </si>
  <si>
    <t>информационные услуги</t>
  </si>
  <si>
    <t>1.3.2.4</t>
  </si>
  <si>
    <t>расходы на аудиторские и консультационные услуги</t>
  </si>
  <si>
    <t>1.3.2.5</t>
  </si>
  <si>
    <t>прочие услуги сторонних организаций</t>
  </si>
  <si>
    <t>1.3.2.5.1</t>
  </si>
  <si>
    <t>содержание и ремонт компьютерной и офисной техники</t>
  </si>
  <si>
    <t>1.3.2.5.2</t>
  </si>
  <si>
    <t>обслуживание транспорта (техосмотр, техобслуживание, шиномонтаж, проч расх по экспл.)</t>
  </si>
  <si>
    <t>1.3.2.5.3</t>
  </si>
  <si>
    <t>прочие расходы</t>
  </si>
  <si>
    <t>1.3.3</t>
  </si>
  <si>
    <t xml:space="preserve">Расходы на командировки 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</si>
  <si>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</si>
  <si>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</si>
  <si>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</si>
  <si>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</si>
  <si>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1.3.5.1</t>
  </si>
  <si>
    <t xml:space="preserve">предрейсовый медосмотр </t>
  </si>
  <si>
    <t>1.3.5.2</t>
  </si>
  <si>
    <t>медосмотры</t>
  </si>
  <si>
    <t>1.3.5.3</t>
  </si>
  <si>
    <t>спецодежда, спецобувь и средства защиты</t>
  </si>
  <si>
    <t>1.3.5.4</t>
  </si>
  <si>
    <t>производственный контроль 65 точек (59-рабочие места основных рабочих, 6- рабочие места общехоз.рабочих)</t>
  </si>
  <si>
    <t>1.3.5.5</t>
  </si>
  <si>
    <t>специальная оценка условий труда (оформление и проведение замеров  вредных производственных факторов)</t>
  </si>
  <si>
    <t>1.3.5.6</t>
  </si>
  <si>
    <t>1.3.6</t>
  </si>
  <si>
    <t xml:space="preserve">Расходы на страхование </t>
  </si>
  <si>
    <t>1.3.7</t>
  </si>
  <si>
    <t xml:space="preserve">Электроэнергия на хоз. технологические нужды </t>
  </si>
  <si>
    <t>1.3.8</t>
  </si>
  <si>
    <t>Другие прочие расходы</t>
  </si>
  <si>
    <t>1.3.8.1</t>
  </si>
  <si>
    <t>услуги банка</t>
  </si>
  <si>
    <t>1.3.8.2</t>
  </si>
  <si>
    <t xml:space="preserve">прочие услуги </t>
  </si>
  <si>
    <t>1.3.9</t>
  </si>
  <si>
    <t>Подконтрольные расходы из прибыли</t>
  </si>
  <si>
    <t>1.3.9.1</t>
  </si>
  <si>
    <t>расходы социального характера из прибыли</t>
  </si>
  <si>
    <t>ИТОГО подконтрольные расходы</t>
  </si>
  <si>
    <t>2.</t>
  </si>
  <si>
    <t>Неподконтрольные расходы</t>
  </si>
  <si>
    <t>2.1</t>
  </si>
  <si>
    <t>Плата за аренду имущества и лизинг</t>
  </si>
  <si>
    <t>2.1.1.</t>
  </si>
  <si>
    <t>аренда имущества (ОРУ, ЗРУ)</t>
  </si>
  <si>
    <t>2.1.2.</t>
  </si>
  <si>
    <t>прочие</t>
  </si>
  <si>
    <t>2.2</t>
  </si>
  <si>
    <t>Амортизация</t>
  </si>
  <si>
    <t>2.2.1</t>
  </si>
  <si>
    <t>ОПФ</t>
  </si>
  <si>
    <t>2.2.2</t>
  </si>
  <si>
    <t xml:space="preserve">прочая </t>
  </si>
  <si>
    <t>2.3</t>
  </si>
  <si>
    <t>Налоги</t>
  </si>
  <si>
    <t>2.3.1</t>
  </si>
  <si>
    <t>Налог на прибыль</t>
  </si>
  <si>
    <t>Плата за землю</t>
  </si>
  <si>
    <t>2.3.2</t>
  </si>
  <si>
    <t>Налог на имущество</t>
  </si>
  <si>
    <t>2.3.3</t>
  </si>
  <si>
    <t>Прочие налоги и сборы (транспортный налог)</t>
  </si>
  <si>
    <t>2.4</t>
  </si>
  <si>
    <t>Страховые взносы на ФОТ</t>
  </si>
  <si>
    <t>2.4.1</t>
  </si>
  <si>
    <t>Размер страховых взносов</t>
  </si>
  <si>
    <t>2.5</t>
  </si>
  <si>
    <t>Прочие неподконтрольные расходы</t>
  </si>
  <si>
    <t>2.6</t>
  </si>
  <si>
    <t>Выпадающие доходы/экономия средств по п. 87 Основ ценообразования</t>
  </si>
  <si>
    <t>2.7</t>
  </si>
  <si>
    <t>Прибыль на капитальные вложения</t>
  </si>
  <si>
    <t>2.8</t>
  </si>
  <si>
    <t>Проценты по кредитам</t>
  </si>
  <si>
    <t>2.9</t>
  </si>
  <si>
    <t xml:space="preserve">Резерв по сомнительным долгам </t>
  </si>
  <si>
    <t>2.10</t>
  </si>
  <si>
    <t>ИТОГО неподконтрольные расходы</t>
  </si>
  <si>
    <t>ИТОГО расходов на содержание сетей</t>
  </si>
  <si>
    <t>Расходы, связанные с компенсацией незапланированных расходов</t>
  </si>
  <si>
    <t>Выпадающие доходы/экономия средств по итогам предыдущих периодов</t>
  </si>
  <si>
    <t>Расходы долгосрочного периода регулирования, связанные с компенсацией незапланированных расходов (со знаком «+») или полученного избытка (со знаком «-»), выявленных по итогам последнего истекшего года долгосрочного периода регулирования Вi</t>
  </si>
  <si>
    <t>Корректировка с учетом надежности и качества</t>
  </si>
  <si>
    <t>ИТОГО НВВ на содержание сетей с учетом корректировки</t>
  </si>
  <si>
    <t>Полезный отпуск электроэнергии</t>
  </si>
  <si>
    <t>млн. кВт.ч</t>
  </si>
  <si>
    <t xml:space="preserve">Заявленная мощность </t>
  </si>
  <si>
    <t>МВт</t>
  </si>
  <si>
    <t>Объем потерь</t>
  </si>
  <si>
    <t>Средневзвешенный тариф покупки потерь</t>
  </si>
  <si>
    <t>руб./МВт.ч.</t>
  </si>
  <si>
    <t>Расходы на оплату потерь</t>
  </si>
  <si>
    <t>ВСЕГО НВВ на содержание сетей и потери</t>
  </si>
  <si>
    <t>Калькуляция расходов, связанных с передачей электроэнергии по сетям ООО "Электротехнический комплекс" на 2025-2029 годы</t>
  </si>
  <si>
    <t>2020
(базовый уровень)</t>
  </si>
  <si>
    <t>2021
утверждено</t>
  </si>
  <si>
    <t>2022
утверждено</t>
  </si>
  <si>
    <t>2023
утверждено</t>
  </si>
  <si>
    <t>2024 план</t>
  </si>
  <si>
    <t>2020
утверждено</t>
  </si>
  <si>
    <t>2023
принято</t>
  </si>
  <si>
    <t>2024                        принято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</si>
</sst>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12" fillId="0" borderId="1" applyBorder="0">
      <alignment horizontal="center" vertical="center" wrapText="1"/>
    </xf>
    <xf numFmtId="9" fontId="1" fillId="0" borderId="0" applyFont="0" applyFill="0" applyBorder="0" applyAlignment="0" applyProtection="0"/>
    <xf numFmtId="0" fontId="2" fillId="0" borderId="0"/>
    <xf numFmtId="4" fontId="13" fillId="2" borderId="0" applyBorder="0">
      <alignment horizontal="right"/>
    </xf>
  </cellStyleXfs>
  <cellXfs count="95">
    <xf numFmtId="0" fontId="0" fillId="0" borderId="0" xfId="0"/>
    <xf numFmtId="0" fontId="3" fillId="0" borderId="0" xfId="1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4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4" fontId="7" fillId="0" borderId="0" xfId="2" applyNumberFormat="1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0" fillId="0" borderId="0" xfId="2" applyFont="1" applyAlignment="1">
      <alignment horizontal="center" vertical="center" wrapText="1"/>
    </xf>
    <xf numFmtId="4" fontId="5" fillId="0" borderId="0" xfId="4" applyNumberFormat="1" applyFont="1" applyAlignment="1">
      <alignment horizontal="center" vertical="center"/>
    </xf>
    <xf numFmtId="0" fontId="5" fillId="0" borderId="0" xfId="4" applyFont="1" applyAlignment="1">
      <alignment vertical="center"/>
    </xf>
    <xf numFmtId="49" fontId="5" fillId="0" borderId="2" xfId="5" applyNumberFormat="1" applyFont="1" applyBorder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5" fillId="0" borderId="2" xfId="5" applyFont="1" applyBorder="1">
      <alignment horizontal="center" vertical="center" wrapText="1"/>
    </xf>
    <xf numFmtId="4" fontId="5" fillId="0" borderId="2" xfId="4" applyNumberFormat="1" applyFont="1" applyBorder="1" applyAlignment="1">
      <alignment horizontal="center" vertical="center" wrapText="1"/>
    </xf>
    <xf numFmtId="1" fontId="5" fillId="0" borderId="2" xfId="4" applyNumberFormat="1" applyFont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0" fontId="5" fillId="0" borderId="2" xfId="4" applyFont="1" applyBorder="1" applyAlignment="1">
      <alignment vertical="center" wrapText="1"/>
    </xf>
    <xf numFmtId="4" fontId="5" fillId="0" borderId="2" xfId="6" applyNumberFormat="1" applyFont="1" applyFill="1" applyBorder="1" applyAlignment="1">
      <alignment horizontal="center" vertical="center"/>
    </xf>
    <xf numFmtId="4" fontId="5" fillId="0" borderId="2" xfId="4" applyNumberFormat="1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5" applyNumberFormat="1" applyFont="1" applyBorder="1" applyAlignment="1">
      <alignment vertical="center" wrapText="1"/>
    </xf>
    <xf numFmtId="0" fontId="5" fillId="0" borderId="2" xfId="5" applyFont="1" applyBorder="1" applyAlignment="1">
      <alignment vertical="center" wrapText="1"/>
    </xf>
    <xf numFmtId="4" fontId="5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3" applyFont="1" applyBorder="1" applyAlignment="1">
      <alignment vertical="center"/>
    </xf>
    <xf numFmtId="0" fontId="7" fillId="0" borderId="2" xfId="2" applyFont="1" applyBorder="1" applyAlignment="1">
      <alignment vertical="center"/>
    </xf>
    <xf numFmtId="4" fontId="7" fillId="0" borderId="2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10" fillId="0" borderId="2" xfId="3" applyNumberFormat="1" applyFont="1" applyBorder="1" applyAlignment="1">
      <alignment horizontal="center" vertical="center"/>
    </xf>
    <xf numFmtId="0" fontId="10" fillId="0" borderId="2" xfId="3" applyFont="1" applyBorder="1" applyAlignment="1">
      <alignment vertical="center" wrapText="1"/>
    </xf>
    <xf numFmtId="0" fontId="5" fillId="0" borderId="2" xfId="3" applyFont="1" applyBorder="1" applyAlignment="1">
      <alignment horizontal="center" vertical="center" wrapText="1"/>
    </xf>
    <xf numFmtId="4" fontId="10" fillId="0" borderId="2" xfId="2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vertical="center" wrapText="1"/>
    </xf>
    <xf numFmtId="0" fontId="5" fillId="0" borderId="2" xfId="7" applyFont="1" applyBorder="1" applyAlignment="1">
      <alignment horizontal="left" vertical="center" wrapText="1"/>
    </xf>
    <xf numFmtId="0" fontId="10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0" fontId="10" fillId="0" borderId="2" xfId="3" applyFont="1" applyBorder="1" applyAlignme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5" fillId="0" borderId="2" xfId="3" applyFont="1" applyBorder="1" applyAlignment="1">
      <alignment vertical="center"/>
    </xf>
    <xf numFmtId="3" fontId="5" fillId="0" borderId="2" xfId="3" applyNumberFormat="1" applyFont="1" applyBorder="1" applyAlignment="1">
      <alignment vertical="center" wrapText="1"/>
    </xf>
    <xf numFmtId="0" fontId="10" fillId="0" borderId="2" xfId="2" applyFont="1" applyBorder="1" applyAlignment="1">
      <alignment horizontal="center" vertical="center"/>
    </xf>
    <xf numFmtId="4" fontId="10" fillId="0" borderId="2" xfId="8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/>
    </xf>
    <xf numFmtId="0" fontId="10" fillId="0" borderId="2" xfId="5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165" fontId="5" fillId="0" borderId="2" xfId="8" applyNumberFormat="1" applyFont="1" applyFill="1" applyBorder="1" applyAlignment="1">
      <alignment vertical="center"/>
    </xf>
    <xf numFmtId="165" fontId="10" fillId="0" borderId="2" xfId="8" applyNumberFormat="1" applyFont="1" applyFill="1" applyBorder="1" applyAlignment="1">
      <alignment vertical="center"/>
    </xf>
    <xf numFmtId="0" fontId="16" fillId="0" borderId="0" xfId="3" applyFont="1" applyAlignment="1">
      <alignment horizontal="center" vertical="center" wrapText="1"/>
    </xf>
    <xf numFmtId="4" fontId="5" fillId="0" borderId="0" xfId="2" applyNumberFormat="1" applyFont="1" applyAlignment="1">
      <alignment vertical="center"/>
    </xf>
    <xf numFmtId="0" fontId="7" fillId="0" borderId="0" xfId="2" applyFont="1" applyAlignment="1">
      <alignment horizontal="center" vertical="center"/>
    </xf>
    <xf numFmtId="4" fontId="7" fillId="0" borderId="0" xfId="2" applyNumberFormat="1" applyFont="1" applyAlignment="1">
      <alignment vertical="center"/>
    </xf>
    <xf numFmtId="0" fontId="10" fillId="0" borderId="0" xfId="4" applyFont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4" fontId="5" fillId="0" borderId="0" xfId="4" applyNumberFormat="1" applyFont="1" applyAlignment="1">
      <alignment vertical="center"/>
    </xf>
    <xf numFmtId="0" fontId="5" fillId="0" borderId="2" xfId="2" applyFont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166" fontId="5" fillId="0" borderId="2" xfId="2" applyNumberFormat="1" applyFont="1" applyBorder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166" fontId="5" fillId="0" borderId="2" xfId="6" applyNumberFormat="1" applyFont="1" applyFill="1" applyBorder="1" applyAlignment="1">
      <alignment horizontal="center" vertical="center"/>
    </xf>
    <xf numFmtId="164" fontId="10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5" fillId="0" borderId="2" xfId="4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4" fontId="5" fillId="0" borderId="2" xfId="2" applyNumberFormat="1" applyFont="1" applyBorder="1" applyAlignment="1">
      <alignment vertical="center" wrapText="1"/>
    </xf>
    <xf numFmtId="4" fontId="7" fillId="0" borderId="2" xfId="2" applyNumberFormat="1" applyFont="1" applyBorder="1" applyAlignment="1">
      <alignment vertical="center" wrapText="1"/>
    </xf>
    <xf numFmtId="4" fontId="10" fillId="0" borderId="2" xfId="2" applyNumberFormat="1" applyFont="1" applyBorder="1" applyAlignment="1">
      <alignment vertical="center"/>
    </xf>
    <xf numFmtId="4" fontId="5" fillId="0" borderId="2" xfId="2" applyNumberFormat="1" applyFont="1" applyBorder="1" applyAlignment="1">
      <alignment vertical="center"/>
    </xf>
    <xf numFmtId="3" fontId="7" fillId="0" borderId="2" xfId="2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vertical="center"/>
    </xf>
    <xf numFmtId="0" fontId="10" fillId="0" borderId="2" xfId="3" applyFont="1" applyBorder="1" applyAlignment="1">
      <alignment horizontal="center" vertical="center"/>
    </xf>
    <xf numFmtId="4" fontId="5" fillId="0" borderId="2" xfId="8" applyFont="1" applyFill="1" applyBorder="1" applyAlignment="1">
      <alignment horizontal="center" vertical="center"/>
    </xf>
    <xf numFmtId="166" fontId="5" fillId="0" borderId="2" xfId="8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0" xfId="4" applyFont="1" applyAlignment="1">
      <alignment vertical="center"/>
    </xf>
    <xf numFmtId="0" fontId="0" fillId="0" borderId="4" xfId="0" applyBorder="1"/>
    <xf numFmtId="0" fontId="9" fillId="0" borderId="0" xfId="2" applyFont="1" applyAlignment="1">
      <alignment horizontal="center" vertical="center" wrapText="1"/>
    </xf>
    <xf numFmtId="0" fontId="9" fillId="0" borderId="2" xfId="4" applyFont="1" applyBorder="1" applyAlignment="1">
      <alignment horizontal="left" vertical="center"/>
    </xf>
    <xf numFmtId="0" fontId="9" fillId="0" borderId="3" xfId="4" applyFont="1" applyBorder="1" applyAlignment="1">
      <alignment horizontal="left" vertical="center" wrapText="1"/>
    </xf>
    <xf numFmtId="0" fontId="9" fillId="0" borderId="4" xfId="4" applyFont="1" applyBorder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</cellXfs>
  <cellStyles count="9">
    <cellStyle name="ЗаголовокСтолбца 2 2" xfId="5" xr:uid="{7CC45372-0C55-450C-8E88-34D08D2A0978}"/>
    <cellStyle name="Обычный" xfId="0" builtinId="0"/>
    <cellStyle name="Обычный 11" xfId="7" xr:uid="{189FFEFE-47D0-49F7-B959-AC1FD06F94DB}"/>
    <cellStyle name="Обычный 2" xfId="1" xr:uid="{F4363DE8-4DFF-47C1-8F3C-90F7D18C31A1}"/>
    <cellStyle name="Обычный 2 2" xfId="3" xr:uid="{5F2E2D79-4C1C-473B-9E62-146F6D55198B}"/>
    <cellStyle name="Обычный 6" xfId="2" xr:uid="{947D8D40-4AC1-42A4-B44C-37907EC46F18}"/>
    <cellStyle name="Обычный 6 2" xfId="4" xr:uid="{73ADB09B-2780-4F6F-9230-0284B755ABD7}"/>
    <cellStyle name="Процентный 4" xfId="6" xr:uid="{059346FF-16D7-483A-ACFF-0835AEC8F9F7}"/>
    <cellStyle name="Формула_GRES.2007.5 3" xfId="8" xr:uid="{4C972FE7-CD07-4891-BAD8-304B6A34C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BMEN\&#1076;&#1083;&#1103;%20&#1084;&#1077;&#1085;&#1103;\&#1044;&#1083;&#1103;%20&#1056;&#1069;&#1050;\&#1058;&#1072;&#1088;&#1080;&#1092;&#1099;%202025\&#1069;&#1058;&#1050;\&#1069;&#1058;&#1050;%20&#1088;&#1072;&#1089;&#1095;&#1077;&#1090;%20&#1090;&#1072;&#1088;&#1080;&#1092;&#1086;&#1074;%20&#1101;&#1101;%202025.xlsx" TargetMode="External"/><Relationship Id="rId1" Type="http://schemas.openxmlformats.org/officeDocument/2006/relationships/externalLinkPath" Target="/OBMEN/&#1076;&#1083;&#1103;%20&#1084;&#1077;&#1085;&#1103;/&#1044;&#1083;&#1103;%20&#1056;&#1069;&#1050;/&#1058;&#1072;&#1088;&#1080;&#1092;&#1099;%202025/&#1069;&#1058;&#1050;/&#1069;&#1058;&#1050;%20&#1088;&#1072;&#1089;&#1095;&#1077;&#1090;%20&#1090;&#1072;&#1088;&#1080;&#1092;&#1086;&#1074;%20&#1101;&#1101;%202025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BMEN\&#1076;&#1083;&#1103;%20&#1084;&#1077;&#1085;&#1103;\&#1044;&#1083;&#1103;%20&#1056;&#1069;&#1050;\&#1058;&#1072;&#1088;&#1080;&#1092;&#1099;%202025\&#1069;&#1058;&#1050;\1_&#1058;&#1072;&#1088;&#1080;&#1092;&#1099;%202025-2029\1_&#1055;&#1072;&#1082;&#1077;&#1090;%20&#1074;%20&#1056;&#1069;&#1050;%201%20&#1084;&#1072;&#1103;%202024\&#1054;&#1073;&#1086;&#1088;&#1091;&#1076;&#1086;&#1074;&#1072;&#1085;&#1080;&#1077;_&#1089;%20&#1091;.&#1077;.&#1092;&#1072;&#1082;&#1090;%20&#1085;&#1072;%2010.04.2024.xlsx" TargetMode="External"/><Relationship Id="rId1" Type="http://schemas.openxmlformats.org/officeDocument/2006/relationships/externalLinkPath" Target="/OBMEN/&#1076;&#1083;&#1103;%20&#1084;&#1077;&#1085;&#1103;/&#1044;&#1083;&#1103;%20&#1056;&#1069;&#1050;/&#1058;&#1072;&#1088;&#1080;&#1092;&#1099;%202025/&#1069;&#1058;&#1050;/1_&#1058;&#1072;&#1088;&#1080;&#1092;&#1099;%202025-2029/1_&#1055;&#1072;&#1082;&#1077;&#1090;%20&#1074;%20&#1056;&#1069;&#1050;%201%20&#1084;&#1072;&#1103;%202024/&#1054;&#1073;&#1086;&#1088;&#1091;&#1076;&#1086;&#1074;&#1072;&#1085;&#1080;&#1077;_&#1089;%20&#1091;.&#1077;.&#1092;&#1072;&#1082;&#1090;%20&#1085;&#1072;%2010.04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4;&#1041;&#1052;&#1045;&#1053;\&#1076;&#1083;&#1103;%20&#1084;&#1077;&#1085;&#1103;\&#1044;&#1083;&#1103;%20&#1056;&#1069;&#1050;\&#1058;&#1072;&#1088;&#1080;&#1092;&#1099;%202023\&#1069;&#1058;&#1050;\&#1054;&#1090;%20&#1056;&#1069;&#1050;\&#1069;&#1058;&#1050;_&#1058;&#1072;&#1088;&#1080;&#1092;%202023%20(&#1092;&#1072;&#1082;&#1090;%202021)_(&#1054;&#1050;)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BMEN\&#1076;&#1083;&#1103;%20&#1084;&#1077;&#1085;&#1103;\&#1040;&#1085;&#1072;&#1083;&#1080;&#1079;%20&#1090;&#1072;&#1088;&#1080;&#1092;&#1086;&#1074;\&#1069;&#1058;&#1050;\&#1072;&#1085;&#1072;&#1083;&#1080;&#1079;%20&#1090;&#1072;&#1088;&#1080;&#1092;&#1086;&#1074;%20&#1069;&#1058;&#1050;%202023%20&#1075;&#1086;&#1076;.xls" TargetMode="External"/><Relationship Id="rId1" Type="http://schemas.openxmlformats.org/officeDocument/2006/relationships/externalLinkPath" Target="/OBMEN/&#1076;&#1083;&#1103;%20&#1084;&#1077;&#1085;&#1103;/&#1040;&#1085;&#1072;&#1083;&#1080;&#1079;%20&#1090;&#1072;&#1088;&#1080;&#1092;&#1086;&#1074;/&#1069;&#1058;&#1050;/&#1072;&#1085;&#1072;&#1083;&#1080;&#1079;%20&#1090;&#1072;&#1088;&#1080;&#1092;&#1086;&#1074;%20&#1069;&#1058;&#1050;%202023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3"/>
      <sheetName val="4"/>
      <sheetName val="1.4"/>
      <sheetName val="5"/>
      <sheetName val="1.5"/>
      <sheetName val="6"/>
      <sheetName val="1.6"/>
      <sheetName val="15(ээ)"/>
      <sheetName val="16"/>
      <sheetName val="табл П 1.17"/>
      <sheetName val="табл П 1.17.1"/>
      <sheetName val="18.2"/>
      <sheetName val="20"/>
      <sheetName val="20.3"/>
      <sheetName val="21.3"/>
      <sheetName val="25"/>
      <sheetName val="24"/>
      <sheetName val="27"/>
      <sheetName val="2020-2024"/>
      <sheetName val="расчет потерь ээ"/>
      <sheetName val="подконтрольные"/>
      <sheetName val="ком усл хоз нужды"/>
      <sheetName val="ГСМ"/>
      <sheetName val="шины"/>
      <sheetName val="ОСАГО"/>
      <sheetName val="спец одежда"/>
      <sheetName val="охрана труда"/>
      <sheetName val="промбезопасность"/>
      <sheetName val="неподконтрольные ээ"/>
      <sheetName val="амортизация"/>
      <sheetName val="сомнит долги"/>
      <sheetName val="Налог на имущество"/>
      <sheetName val="зем н-г"/>
      <sheetName val="тр н-г"/>
      <sheetName val="Услуги ФСК ЕЭС"/>
    </sheetNames>
    <sheetDataSet>
      <sheetData sheetId="0"/>
      <sheetData sheetId="1"/>
      <sheetData sheetId="2"/>
      <sheetData sheetId="3"/>
      <sheetData sheetId="4">
        <row r="20">
          <cell r="J20">
            <v>82.884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9">
          <cell r="I99">
            <v>564.070605</v>
          </cell>
        </row>
      </sheetData>
      <sheetData sheetId="19">
        <row r="31">
          <cell r="C31">
            <v>38249.068060946469</v>
          </cell>
        </row>
        <row r="32">
          <cell r="C32">
            <v>6.3502936495192341E-2</v>
          </cell>
        </row>
      </sheetData>
      <sheetData sheetId="20">
        <row r="8">
          <cell r="H8">
            <v>341537.04391244589</v>
          </cell>
        </row>
        <row r="9">
          <cell r="H9">
            <v>259718.1872916524</v>
          </cell>
        </row>
        <row r="10">
          <cell r="H10">
            <v>95756.47872708764</v>
          </cell>
        </row>
        <row r="11">
          <cell r="H11">
            <v>595093.55269508215</v>
          </cell>
        </row>
        <row r="12">
          <cell r="H12">
            <v>37099.78159244515</v>
          </cell>
        </row>
        <row r="13">
          <cell r="H13">
            <v>847147.72198928683</v>
          </cell>
        </row>
        <row r="14">
          <cell r="H14">
            <v>587885.43715589656</v>
          </cell>
        </row>
        <row r="15">
          <cell r="H15">
            <v>1443547.4708471566</v>
          </cell>
        </row>
        <row r="17">
          <cell r="H17">
            <v>30303.016047360001</v>
          </cell>
        </row>
        <row r="18">
          <cell r="H18">
            <v>97707.599113437129</v>
          </cell>
        </row>
        <row r="20">
          <cell r="H20">
            <v>59938.70456085453</v>
          </cell>
        </row>
        <row r="21">
          <cell r="H21">
            <v>288859.5491130579</v>
          </cell>
        </row>
        <row r="22">
          <cell r="H22">
            <v>118369.31742345326</v>
          </cell>
        </row>
        <row r="23">
          <cell r="H23">
            <v>49577.957987290531</v>
          </cell>
        </row>
        <row r="24">
          <cell r="H24">
            <v>221013.13136304013</v>
          </cell>
        </row>
        <row r="25">
          <cell r="H25">
            <v>3072113.886584491</v>
          </cell>
        </row>
        <row r="29">
          <cell r="H29">
            <v>2896059.3205422871</v>
          </cell>
        </row>
        <row r="30">
          <cell r="H30">
            <v>9185906.959403526</v>
          </cell>
        </row>
        <row r="31">
          <cell r="H31">
            <v>1252224.8879093002</v>
          </cell>
        </row>
        <row r="32">
          <cell r="H32">
            <v>3716666.9632898392</v>
          </cell>
        </row>
        <row r="34">
          <cell r="H34">
            <v>1312172.0694507074</v>
          </cell>
        </row>
        <row r="35">
          <cell r="H35">
            <v>79978.752000000008</v>
          </cell>
        </row>
        <row r="49">
          <cell r="H49">
            <v>9277226.3873767871</v>
          </cell>
        </row>
        <row r="51">
          <cell r="H51">
            <v>569190.43619468855</v>
          </cell>
        </row>
        <row r="52">
          <cell r="H52">
            <v>87285.851100023996</v>
          </cell>
        </row>
      </sheetData>
      <sheetData sheetId="21"/>
      <sheetData sheetId="22"/>
      <sheetData sheetId="23"/>
      <sheetData sheetId="24"/>
      <sheetData sheetId="25"/>
      <sheetData sheetId="26">
        <row r="14">
          <cell r="O14">
            <v>50662.039999999994</v>
          </cell>
        </row>
        <row r="24">
          <cell r="O24">
            <v>237721.88</v>
          </cell>
        </row>
        <row r="34">
          <cell r="O34">
            <v>9482.2000000000007</v>
          </cell>
        </row>
        <row r="43">
          <cell r="O43">
            <v>20860.84</v>
          </cell>
        </row>
        <row r="52">
          <cell r="O52">
            <v>5616.38</v>
          </cell>
        </row>
        <row r="61">
          <cell r="O61">
            <v>251546.87550000005</v>
          </cell>
        </row>
        <row r="84">
          <cell r="O84">
            <v>52518.947802296199</v>
          </cell>
        </row>
        <row r="85">
          <cell r="O85">
            <v>26103.918851610368</v>
          </cell>
        </row>
      </sheetData>
      <sheetData sheetId="27"/>
      <sheetData sheetId="28">
        <row r="8">
          <cell r="C8">
            <v>34994504.974278174</v>
          </cell>
          <cell r="F8">
            <v>3193768.8781288951</v>
          </cell>
        </row>
        <row r="10">
          <cell r="C10">
            <v>21049260.466400001</v>
          </cell>
          <cell r="F10">
            <v>115021.41076514391</v>
          </cell>
        </row>
        <row r="35">
          <cell r="H35">
            <v>543937.21007740777</v>
          </cell>
        </row>
        <row r="36">
          <cell r="H36">
            <v>5124018.2357108155</v>
          </cell>
        </row>
        <row r="37">
          <cell r="H37">
            <v>32852.725442142226</v>
          </cell>
        </row>
        <row r="39">
          <cell r="B39" t="str">
            <v>Услуги ФСК ЕЭС (РП-245)</v>
          </cell>
          <cell r="H39">
            <v>34164592.630458482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борудов."/>
      <sheetName val="п.2.1"/>
      <sheetName val="п.2.2"/>
    </sheetNames>
    <sheetDataSet>
      <sheetData sheetId="0" refreshError="1"/>
      <sheetData sheetId="1" refreshError="1"/>
      <sheetData sheetId="2" refreshError="1">
        <row r="49">
          <cell r="G49">
            <v>1534.7</v>
          </cell>
        </row>
        <row r="53">
          <cell r="G53">
            <v>5952.0419600000005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шифровка за 2021"/>
      <sheetName val="Корр"/>
      <sheetName val="Калькуляция 2023"/>
      <sheetName val="Сравн. анализ"/>
      <sheetName val="сч.20"/>
      <sheetName val="сч.26"/>
      <sheetName val="сч.90, 91"/>
      <sheetName val="Ремонт и содерж. ОС"/>
      <sheetName val="Транспорт,страхов."/>
      <sheetName val="Консульт,связь,прочие"/>
      <sheetName val="ОТТБ"/>
      <sheetName val="Обучение,командиров."/>
      <sheetName val="Юр.,зем.нал"/>
      <sheetName val="П1.16"/>
      <sheetName val="Труд"/>
      <sheetName val="Аренда"/>
      <sheetName val="Потери"/>
      <sheetName val="ТСО"/>
      <sheetName val="Сдача в аренду"/>
      <sheetName val="Кредит,%"/>
      <sheetName val="Резерв"/>
      <sheetName val="ТЭП"/>
      <sheetName val="ремонт 2021 (факт)"/>
    </sheetNames>
    <sheetDataSet>
      <sheetData sheetId="0" refreshError="1"/>
      <sheetData sheetId="1" refreshError="1">
        <row r="12">
          <cell r="F12">
            <v>1839.69</v>
          </cell>
        </row>
        <row r="43">
          <cell r="F43">
            <v>-12627.27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2">
          <cell r="L42">
            <v>526</v>
          </cell>
        </row>
      </sheetData>
      <sheetData sheetId="13" refreshError="1"/>
      <sheetData sheetId="14" refreshError="1"/>
      <sheetData sheetId="15" refreshError="1">
        <row r="8">
          <cell r="M8">
            <v>15.44</v>
          </cell>
        </row>
        <row r="9">
          <cell r="M9">
            <v>4719.92</v>
          </cell>
        </row>
        <row r="10">
          <cell r="M10">
            <v>0.53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12">
          <cell r="E12">
            <v>3548.56</v>
          </cell>
        </row>
      </sheetData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ередача ээ "/>
      <sheetName val="передача ээ год"/>
      <sheetName val="корректировка"/>
      <sheetName val="корректировка (МС)"/>
      <sheetName val="расчет % фин рез"/>
    </sheetNames>
    <sheetDataSet>
      <sheetData sheetId="0">
        <row r="6">
          <cell r="V6">
            <v>101999.71093999996</v>
          </cell>
        </row>
      </sheetData>
      <sheetData sheetId="1">
        <row r="15">
          <cell r="F15">
            <v>28111.399720000001</v>
          </cell>
        </row>
      </sheetData>
      <sheetData sheetId="2"/>
      <sheetData sheetId="3">
        <row r="10">
          <cell r="F10">
            <v>2135.1462000000001</v>
          </cell>
        </row>
        <row r="32">
          <cell r="F32">
            <v>30046.358875979477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AC30-3664-45A9-8C2D-DA815C8A39A8}">
  <sheetPr>
    <pageSetUpPr fitToPage="1"/>
  </sheetPr>
  <dimension ref="A1:IP107"/>
  <sheetViews>
    <sheetView tabSelected="1" topLeftCell="A83" workbookViewId="0">
      <selection activeCell="I101" sqref="I101"/>
    </sheetView>
  </sheetViews>
  <sheetFormatPr defaultRowHeight="15" outlineLevelRow="1" outlineLevelCol="1" x14ac:dyDescent="0.25"/>
  <cols>
    <col min="1" max="1" width="8.28515625" style="3" customWidth="1"/>
    <col min="2" max="2" width="51.85546875" style="2" customWidth="1"/>
    <col min="3" max="3" width="12.85546875" style="2" customWidth="1"/>
    <col min="4" max="6" width="14.5703125" style="3" hidden="1" customWidth="1" outlineLevel="1"/>
    <col min="7" max="7" width="15.85546875" style="3" hidden="1" customWidth="1" outlineLevel="1"/>
    <col min="8" max="8" width="17.85546875" style="3" hidden="1" customWidth="1" outlineLevel="1"/>
    <col min="9" max="9" width="10.7109375" style="4" customWidth="1" collapsed="1"/>
    <col min="10" max="12" width="9.85546875" style="4" bestFit="1" customWidth="1"/>
    <col min="13" max="13" width="9.85546875" style="57" bestFit="1" customWidth="1"/>
    <col min="14" max="218" width="9.140625" style="2"/>
    <col min="219" max="223" width="9.140625" style="2" customWidth="1"/>
    <col min="224" max="224" width="9.5703125" style="2" customWidth="1"/>
    <col min="225" max="225" width="55.28515625" style="2" customWidth="1"/>
    <col min="226" max="226" width="12.5703125" style="2" customWidth="1"/>
    <col min="227" max="227" width="21.5703125" style="2" customWidth="1"/>
    <col min="228" max="228" width="22.140625" style="2" customWidth="1"/>
    <col min="229" max="229" width="19.5703125" style="2" customWidth="1"/>
    <col min="230" max="230" width="19.85546875" style="2" customWidth="1"/>
    <col min="231" max="231" width="18.85546875" style="2" customWidth="1"/>
    <col min="232" max="232" width="20.5703125" style="2" customWidth="1"/>
    <col min="233" max="233" width="20.85546875" style="2" customWidth="1"/>
    <col min="234" max="234" width="19.140625" style="2" customWidth="1"/>
    <col min="235" max="235" width="18" style="2" customWidth="1"/>
    <col min="236" max="237" width="9.140625" style="2"/>
    <col min="238" max="238" width="15.140625" style="2" customWidth="1"/>
    <col min="239" max="250" width="9.140625" style="2"/>
  </cols>
  <sheetData>
    <row r="1" spans="1:250" ht="15.75" x14ac:dyDescent="0.25">
      <c r="A1" s="1"/>
      <c r="H1" s="56"/>
    </row>
    <row r="2" spans="1:250" ht="15.75" x14ac:dyDescent="0.25">
      <c r="A2" s="1"/>
      <c r="B2" s="5"/>
      <c r="C2" s="5"/>
      <c r="D2" s="58"/>
      <c r="E2" s="58"/>
      <c r="F2" s="58"/>
      <c r="G2" s="58"/>
      <c r="H2" s="58"/>
      <c r="I2" s="6"/>
      <c r="J2" s="6"/>
      <c r="K2" s="6"/>
      <c r="L2" s="6"/>
      <c r="M2" s="5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x14ac:dyDescent="0.25">
      <c r="A3" s="7"/>
    </row>
    <row r="4" spans="1:250" ht="31.5" customHeight="1" x14ac:dyDescent="0.25">
      <c r="A4" s="89" t="s">
        <v>165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x14ac:dyDescent="0.25">
      <c r="A5" s="8"/>
      <c r="B5" s="8"/>
      <c r="C5" s="8"/>
      <c r="D5" s="8"/>
      <c r="E5" s="8"/>
      <c r="F5" s="8"/>
      <c r="G5" s="8"/>
      <c r="H5" s="8"/>
    </row>
    <row r="6" spans="1:250" x14ac:dyDescent="0.25">
      <c r="A6" s="86" t="s">
        <v>0</v>
      </c>
      <c r="B6" s="87"/>
      <c r="C6" s="87"/>
      <c r="D6" s="60"/>
      <c r="E6" s="60"/>
      <c r="F6" s="60"/>
      <c r="G6" s="60"/>
      <c r="H6" s="61"/>
      <c r="I6" s="9"/>
      <c r="J6" s="9"/>
      <c r="K6" s="9"/>
      <c r="L6" s="9"/>
      <c r="M6" s="6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250" ht="41.25" customHeight="1" x14ac:dyDescent="0.25">
      <c r="A7" s="11" t="s">
        <v>1</v>
      </c>
      <c r="B7" s="12" t="s">
        <v>2</v>
      </c>
      <c r="C7" s="13" t="s">
        <v>3</v>
      </c>
      <c r="D7" s="63" t="s">
        <v>166</v>
      </c>
      <c r="E7" s="63" t="s">
        <v>167</v>
      </c>
      <c r="F7" s="63" t="s">
        <v>168</v>
      </c>
      <c r="G7" s="63" t="s">
        <v>169</v>
      </c>
      <c r="H7" s="63" t="s">
        <v>170</v>
      </c>
      <c r="I7" s="14" t="s">
        <v>4</v>
      </c>
      <c r="J7" s="15">
        <v>2026</v>
      </c>
      <c r="K7" s="15">
        <v>2027</v>
      </c>
      <c r="L7" s="15">
        <v>2028</v>
      </c>
      <c r="M7" s="15">
        <v>2029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ht="15.75" x14ac:dyDescent="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x14ac:dyDescent="0.25">
      <c r="A9" s="12">
        <v>1</v>
      </c>
      <c r="B9" s="17" t="s">
        <v>6</v>
      </c>
      <c r="C9" s="12"/>
      <c r="D9" s="18">
        <v>0.01</v>
      </c>
      <c r="E9" s="18">
        <v>0.01</v>
      </c>
      <c r="F9" s="18">
        <v>0.01</v>
      </c>
      <c r="G9" s="18">
        <v>0.01</v>
      </c>
      <c r="H9" s="18">
        <v>0.01</v>
      </c>
      <c r="I9" s="19">
        <v>0.01</v>
      </c>
      <c r="J9" s="19">
        <v>0.01</v>
      </c>
      <c r="K9" s="19">
        <v>0.01</v>
      </c>
      <c r="L9" s="19">
        <v>0.01</v>
      </c>
      <c r="M9" s="19">
        <v>0.01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ht="25.5" x14ac:dyDescent="0.25">
      <c r="A10" s="12">
        <v>2</v>
      </c>
      <c r="B10" s="17" t="s">
        <v>7</v>
      </c>
      <c r="C10" s="12"/>
      <c r="D10" s="18">
        <v>0.75</v>
      </c>
      <c r="E10" s="18">
        <v>0.75</v>
      </c>
      <c r="F10" s="18">
        <v>0.75</v>
      </c>
      <c r="G10" s="18">
        <v>0.75</v>
      </c>
      <c r="H10" s="18">
        <v>0.75</v>
      </c>
      <c r="I10" s="19">
        <v>0.75</v>
      </c>
      <c r="J10" s="19">
        <v>0.75</v>
      </c>
      <c r="K10" s="19">
        <v>0.75</v>
      </c>
      <c r="L10" s="19">
        <v>0.75</v>
      </c>
      <c r="M10" s="19">
        <v>0.75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ht="25.5" x14ac:dyDescent="0.25">
      <c r="A11" s="12">
        <v>3</v>
      </c>
      <c r="B11" s="17" t="s">
        <v>8</v>
      </c>
      <c r="C11" s="12" t="s">
        <v>9</v>
      </c>
      <c r="D11" s="18">
        <v>1.5</v>
      </c>
      <c r="E11" s="18">
        <v>1.5</v>
      </c>
      <c r="F11" s="18">
        <v>1.5</v>
      </c>
      <c r="G11" s="18">
        <v>1.5</v>
      </c>
      <c r="H11" s="18">
        <v>1.5</v>
      </c>
      <c r="I11" s="19">
        <f ca="1">'[1]расчет потерь ээ'!C32*100</f>
        <v>6.3502936495192337</v>
      </c>
      <c r="J11" s="19">
        <f ca="1">I11</f>
        <v>6.3502936495192337</v>
      </c>
      <c r="K11" s="19">
        <f t="shared" ref="K11:M11" ca="1" si="0">J11</f>
        <v>6.3502936495192337</v>
      </c>
      <c r="L11" s="19">
        <f t="shared" ca="1" si="0"/>
        <v>6.3502936495192337</v>
      </c>
      <c r="M11" s="19">
        <f t="shared" ca="1" si="0"/>
        <v>6.3502936495192337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</row>
    <row r="12" spans="1:250" x14ac:dyDescent="0.25">
      <c r="A12" s="12">
        <v>4</v>
      </c>
      <c r="B12" s="17" t="s">
        <v>10</v>
      </c>
      <c r="C12" s="12"/>
      <c r="D12" s="12">
        <v>2</v>
      </c>
      <c r="E12" s="12">
        <v>2</v>
      </c>
      <c r="F12" s="12">
        <v>2</v>
      </c>
      <c r="G12" s="12">
        <v>2</v>
      </c>
      <c r="H12" s="64">
        <v>2</v>
      </c>
      <c r="I12" s="19">
        <v>2</v>
      </c>
      <c r="J12" s="19">
        <v>2</v>
      </c>
      <c r="K12" s="19">
        <v>2</v>
      </c>
      <c r="L12" s="19">
        <v>2</v>
      </c>
      <c r="M12" s="19">
        <v>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250" ht="15.75" customHeight="1" x14ac:dyDescent="0.25">
      <c r="A13" s="91" t="s">
        <v>11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x14ac:dyDescent="0.25">
      <c r="A14" s="12">
        <v>1</v>
      </c>
      <c r="B14" s="17" t="s">
        <v>12</v>
      </c>
      <c r="C14" s="12"/>
      <c r="D14" s="65">
        <v>1.03</v>
      </c>
      <c r="E14" s="65">
        <f>1.036</f>
        <v>1.036</v>
      </c>
      <c r="F14" s="66">
        <f>1.043</f>
        <v>1.0429999999999999</v>
      </c>
      <c r="G14" s="66">
        <f>1.06</f>
        <v>1.06</v>
      </c>
      <c r="H14" s="20">
        <v>1.0720000000000001</v>
      </c>
      <c r="I14" s="20">
        <v>1.042</v>
      </c>
      <c r="J14" s="21">
        <v>1.04</v>
      </c>
      <c r="K14" s="21">
        <v>1.04</v>
      </c>
      <c r="L14" s="21">
        <v>1.04</v>
      </c>
      <c r="M14" s="21">
        <v>1.04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x14ac:dyDescent="0.25">
      <c r="A15" s="12">
        <v>2</v>
      </c>
      <c r="B15" s="17" t="s">
        <v>13</v>
      </c>
      <c r="C15" s="12" t="s">
        <v>14</v>
      </c>
      <c r="D15" s="21">
        <v>2627.53</v>
      </c>
      <c r="E15" s="21">
        <v>2637.78</v>
      </c>
      <c r="F15" s="21">
        <v>2905.23</v>
      </c>
      <c r="G15" s="21">
        <v>3205.66</v>
      </c>
      <c r="H15" s="19">
        <v>4098.3599999999997</v>
      </c>
      <c r="I15" s="19">
        <f>'[2]п.2.2'!$G$53</f>
        <v>5952.0419600000005</v>
      </c>
      <c r="J15" s="19">
        <v>5952.0420000000004</v>
      </c>
      <c r="K15" s="19">
        <v>5952.0420000000004</v>
      </c>
      <c r="L15" s="19">
        <v>5952.0420000000004</v>
      </c>
      <c r="M15" s="19">
        <v>5952.0420000000004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x14ac:dyDescent="0.25">
      <c r="A16" s="12">
        <v>3</v>
      </c>
      <c r="B16" s="17" t="s">
        <v>15</v>
      </c>
      <c r="C16" s="12"/>
      <c r="D16" s="67">
        <f>(D15-2741.6)/2741.6</f>
        <v>-4.1607090749926946E-2</v>
      </c>
      <c r="E16" s="67">
        <f>(E15-D15)/D15</f>
        <v>3.9010020818030619E-3</v>
      </c>
      <c r="F16" s="67">
        <f>(F15-E15)/E15</f>
        <v>0.10139207970338686</v>
      </c>
      <c r="G16" s="67">
        <f>(G15-F15)/F15</f>
        <v>0.10341005703507118</v>
      </c>
      <c r="H16" s="67">
        <f>(H15-G15)/G15</f>
        <v>0.27847619522968747</v>
      </c>
      <c r="I16" s="18">
        <f>(I15-H15)/H15</f>
        <v>0.45229847060775552</v>
      </c>
      <c r="J16" s="18">
        <f t="shared" ref="J16:M16" si="1">(J15-I15)/I15</f>
        <v>6.7203827136678497E-9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1:250" x14ac:dyDescent="0.25">
      <c r="A17" s="12">
        <v>4</v>
      </c>
      <c r="B17" s="17" t="s">
        <v>16</v>
      </c>
      <c r="C17" s="12"/>
      <c r="D17" s="67">
        <f>D14*(1+D10*D16)*(1-D9)</f>
        <v>0.98787993717172473</v>
      </c>
      <c r="E17" s="67">
        <f>E14*(1+E10*E16)*(1-E9)</f>
        <v>1.0286407678313854</v>
      </c>
      <c r="F17" s="67">
        <f>F14*(1+F10*F16)*(1-F9)</f>
        <v>1.1110908148044947</v>
      </c>
      <c r="G17" s="67">
        <f>ROUND(G14*(1+G10*G16)*(1-G9),3)</f>
        <v>1.131</v>
      </c>
      <c r="H17" s="67">
        <f>ROUND(H14*(1+H10*H16)*(1-H9),3)</f>
        <v>1.2829999999999999</v>
      </c>
      <c r="I17" s="18">
        <f>ROUND(I14*(1+I10*I16)*(1-I9),3)</f>
        <v>1.3819999999999999</v>
      </c>
      <c r="J17" s="18">
        <f>ROUND(J14*(1+J10*J16)*(1-J9),3)</f>
        <v>1.03</v>
      </c>
      <c r="K17" s="18">
        <f t="shared" ref="K17:M17" si="2">ROUND(K14*(1+K10*K16)*(1-K9),3)</f>
        <v>1.03</v>
      </c>
      <c r="L17" s="18">
        <f t="shared" si="2"/>
        <v>1.03</v>
      </c>
      <c r="M17" s="18">
        <f t="shared" si="2"/>
        <v>1.03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x14ac:dyDescent="0.25">
      <c r="B18" s="22"/>
      <c r="C18" s="3"/>
      <c r="D18" s="68"/>
      <c r="E18" s="68"/>
      <c r="F18" s="68"/>
      <c r="G18" s="68"/>
    </row>
    <row r="19" spans="1:250" ht="15.75" x14ac:dyDescent="0.25">
      <c r="A19" s="93" t="s">
        <v>17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0" x14ac:dyDescent="0.25">
      <c r="A20" s="88"/>
      <c r="B20" s="88"/>
      <c r="C20" s="88"/>
      <c r="D20" s="23"/>
      <c r="E20" s="23"/>
      <c r="F20" s="23"/>
      <c r="G20" s="23"/>
      <c r="H20" s="69"/>
      <c r="I20" s="24"/>
      <c r="J20" s="24"/>
      <c r="K20" s="24"/>
      <c r="L20" s="24"/>
      <c r="M20" s="7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s="23" customFormat="1" ht="31.5" customHeight="1" x14ac:dyDescent="0.25">
      <c r="A21" s="11" t="s">
        <v>1</v>
      </c>
      <c r="B21" s="13" t="s">
        <v>2</v>
      </c>
      <c r="C21" s="13" t="s">
        <v>3</v>
      </c>
      <c r="D21" s="63" t="s">
        <v>171</v>
      </c>
      <c r="E21" s="63" t="s">
        <v>167</v>
      </c>
      <c r="F21" s="63" t="s">
        <v>168</v>
      </c>
      <c r="G21" s="71" t="s">
        <v>172</v>
      </c>
      <c r="H21" s="72" t="s">
        <v>173</v>
      </c>
      <c r="I21" s="25">
        <v>2025</v>
      </c>
      <c r="J21" s="73">
        <v>2026</v>
      </c>
      <c r="K21" s="73">
        <v>2027</v>
      </c>
      <c r="L21" s="73">
        <v>2028</v>
      </c>
      <c r="M21" s="73">
        <v>2029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idden="1" outlineLevel="1" x14ac:dyDescent="0.25">
      <c r="A22" s="26"/>
      <c r="B22" s="27"/>
      <c r="C22" s="27"/>
      <c r="D22" s="63"/>
      <c r="E22" s="63"/>
      <c r="F22" s="63"/>
      <c r="G22" s="71"/>
      <c r="H22" s="74"/>
      <c r="I22" s="28"/>
      <c r="J22" s="28"/>
      <c r="K22" s="28"/>
      <c r="L22" s="28"/>
      <c r="M22" s="75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</row>
    <row r="23" spans="1:250" ht="15.75" collapsed="1" x14ac:dyDescent="0.25">
      <c r="A23" s="29" t="s">
        <v>18</v>
      </c>
      <c r="B23" s="30" t="s">
        <v>19</v>
      </c>
      <c r="C23" s="31"/>
      <c r="D23" s="29"/>
      <c r="E23" s="29"/>
      <c r="F23" s="29"/>
      <c r="G23" s="29"/>
      <c r="H23" s="29"/>
      <c r="I23" s="32"/>
      <c r="J23" s="32"/>
      <c r="K23" s="32"/>
      <c r="L23" s="32"/>
      <c r="M23" s="76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</row>
    <row r="24" spans="1:250" x14ac:dyDescent="0.25">
      <c r="A24" s="34" t="s">
        <v>20</v>
      </c>
      <c r="B24" s="35" t="s">
        <v>21</v>
      </c>
      <c r="C24" s="36" t="s">
        <v>22</v>
      </c>
      <c r="D24" s="37">
        <f t="shared" ref="D24:M25" si="3">D25</f>
        <v>136.59</v>
      </c>
      <c r="E24" s="37">
        <f t="shared" si="3"/>
        <v>140.5</v>
      </c>
      <c r="F24" s="37">
        <f t="shared" si="3"/>
        <v>156.11000000000001</v>
      </c>
      <c r="G24" s="37">
        <f t="shared" si="3"/>
        <v>176.56</v>
      </c>
      <c r="H24" s="37">
        <f t="shared" si="3"/>
        <v>257.79000000000002</v>
      </c>
      <c r="I24" s="37">
        <f t="shared" si="3"/>
        <v>259.71818729165238</v>
      </c>
      <c r="J24" s="37">
        <f t="shared" si="3"/>
        <v>267.50973291040197</v>
      </c>
      <c r="K24" s="37">
        <f t="shared" si="3"/>
        <v>275.53502489771404</v>
      </c>
      <c r="L24" s="37">
        <f t="shared" si="3"/>
        <v>283.80107564464549</v>
      </c>
      <c r="M24" s="37">
        <f t="shared" si="3"/>
        <v>292.31510791398489</v>
      </c>
    </row>
    <row r="25" spans="1:250" x14ac:dyDescent="0.25">
      <c r="A25" s="38" t="s">
        <v>23</v>
      </c>
      <c r="B25" s="39" t="s">
        <v>24</v>
      </c>
      <c r="C25" s="36" t="s">
        <v>22</v>
      </c>
      <c r="D25" s="21">
        <f t="shared" si="3"/>
        <v>136.59</v>
      </c>
      <c r="E25" s="21">
        <f t="shared" si="3"/>
        <v>140.5</v>
      </c>
      <c r="F25" s="21">
        <f t="shared" si="3"/>
        <v>156.11000000000001</v>
      </c>
      <c r="G25" s="21">
        <f t="shared" si="3"/>
        <v>176.56</v>
      </c>
      <c r="H25" s="21">
        <f t="shared" si="3"/>
        <v>257.79000000000002</v>
      </c>
      <c r="I25" s="21">
        <f>I26</f>
        <v>259.71818729165238</v>
      </c>
      <c r="J25" s="21">
        <f t="shared" si="3"/>
        <v>267.50973291040197</v>
      </c>
      <c r="K25" s="21">
        <f t="shared" si="3"/>
        <v>275.53502489771404</v>
      </c>
      <c r="L25" s="21">
        <f t="shared" si="3"/>
        <v>283.80107564464549</v>
      </c>
      <c r="M25" s="21">
        <f t="shared" si="3"/>
        <v>292.31510791398489</v>
      </c>
    </row>
    <row r="26" spans="1:250" x14ac:dyDescent="0.25">
      <c r="A26" s="38" t="s">
        <v>25</v>
      </c>
      <c r="B26" s="40" t="s">
        <v>26</v>
      </c>
      <c r="C26" s="36" t="s">
        <v>22</v>
      </c>
      <c r="D26" s="21">
        <v>136.59</v>
      </c>
      <c r="E26" s="21">
        <v>140.5</v>
      </c>
      <c r="F26" s="21">
        <v>156.11000000000001</v>
      </c>
      <c r="G26" s="21">
        <f>ROUND((F26*$G$17),2)</f>
        <v>176.56</v>
      </c>
      <c r="H26" s="21">
        <v>257.79000000000002</v>
      </c>
      <c r="I26" s="21">
        <f>[1]подконтрольные!H9/1000</f>
        <v>259.71818729165238</v>
      </c>
      <c r="J26" s="21">
        <f>I26*J17</f>
        <v>267.50973291040197</v>
      </c>
      <c r="K26" s="21">
        <f t="shared" ref="K26:M26" si="4">J26*K17</f>
        <v>275.53502489771404</v>
      </c>
      <c r="L26" s="21">
        <f t="shared" si="4"/>
        <v>283.80107564464549</v>
      </c>
      <c r="M26" s="21">
        <f t="shared" si="4"/>
        <v>292.31510791398489</v>
      </c>
    </row>
    <row r="27" spans="1:250" x14ac:dyDescent="0.25">
      <c r="A27" s="34" t="s">
        <v>27</v>
      </c>
      <c r="B27" s="41" t="s">
        <v>28</v>
      </c>
      <c r="C27" s="36" t="s">
        <v>22</v>
      </c>
      <c r="D27" s="37">
        <f t="shared" ref="D27:M27" si="5">D28+D31+D34</f>
        <v>60568.87</v>
      </c>
      <c r="E27" s="37">
        <f t="shared" si="5"/>
        <v>62303.599999999991</v>
      </c>
      <c r="F27" s="37">
        <f t="shared" si="5"/>
        <v>69226.78</v>
      </c>
      <c r="G27" s="37">
        <f t="shared" si="5"/>
        <v>78295.48</v>
      </c>
      <c r="H27" s="37">
        <f t="shared" si="5"/>
        <v>133382.97</v>
      </c>
      <c r="I27" s="37">
        <f t="shared" si="5"/>
        <v>163376.70000000001</v>
      </c>
      <c r="J27" s="37">
        <f t="shared" si="5"/>
        <v>168278.00099999999</v>
      </c>
      <c r="K27" s="37">
        <f t="shared" si="5"/>
        <v>173326.34103000001</v>
      </c>
      <c r="L27" s="37">
        <f t="shared" si="5"/>
        <v>178526.1312609</v>
      </c>
      <c r="M27" s="37">
        <f t="shared" si="5"/>
        <v>183881.91519872699</v>
      </c>
    </row>
    <row r="28" spans="1:250" outlineLevel="1" x14ac:dyDescent="0.25">
      <c r="A28" s="94" t="s">
        <v>29</v>
      </c>
      <c r="B28" s="42" t="s">
        <v>30</v>
      </c>
      <c r="C28" s="36" t="s">
        <v>22</v>
      </c>
      <c r="D28" s="21">
        <f>ROUND((D30/1000*12*D29),2)</f>
        <v>20523.34</v>
      </c>
      <c r="E28" s="21">
        <v>21111.14</v>
      </c>
      <c r="F28" s="21">
        <v>23457.01</v>
      </c>
      <c r="G28" s="21">
        <f>ROUND((F28*$G$17),2)</f>
        <v>26529.88</v>
      </c>
      <c r="H28" s="21">
        <v>40771.9</v>
      </c>
      <c r="I28" s="21">
        <v>42133.991049999997</v>
      </c>
      <c r="J28" s="21">
        <f>I28*J17</f>
        <v>43398.010781500001</v>
      </c>
      <c r="K28" s="21">
        <f t="shared" ref="K28:M28" si="6">J28*K17</f>
        <v>44699.951104945001</v>
      </c>
      <c r="L28" s="21">
        <f t="shared" si="6"/>
        <v>46040.949638093349</v>
      </c>
      <c r="M28" s="21">
        <f t="shared" si="6"/>
        <v>47422.178127236148</v>
      </c>
    </row>
    <row r="29" spans="1:250" outlineLevel="1" x14ac:dyDescent="0.25">
      <c r="A29" s="94"/>
      <c r="B29" s="42" t="s">
        <v>31</v>
      </c>
      <c r="C29" s="36" t="s">
        <v>32</v>
      </c>
      <c r="D29" s="73">
        <v>41</v>
      </c>
      <c r="E29" s="73">
        <v>41</v>
      </c>
      <c r="F29" s="73">
        <v>41</v>
      </c>
      <c r="G29" s="73">
        <f>D29</f>
        <v>41</v>
      </c>
      <c r="H29" s="73">
        <v>41</v>
      </c>
      <c r="I29" s="21">
        <v>49</v>
      </c>
      <c r="J29" s="21">
        <v>49</v>
      </c>
      <c r="K29" s="21">
        <v>49</v>
      </c>
      <c r="L29" s="21">
        <v>49</v>
      </c>
      <c r="M29" s="21">
        <v>49</v>
      </c>
    </row>
    <row r="30" spans="1:250" outlineLevel="1" x14ac:dyDescent="0.25">
      <c r="A30" s="94"/>
      <c r="B30" s="42" t="s">
        <v>33</v>
      </c>
      <c r="C30" s="36" t="s">
        <v>34</v>
      </c>
      <c r="D30" s="21">
        <v>41714.1</v>
      </c>
      <c r="E30" s="21">
        <f>E28/E29/12*1000</f>
        <v>42908.82113821138</v>
      </c>
      <c r="F30" s="21">
        <f>F28/F29/12*1000</f>
        <v>47676.849593495936</v>
      </c>
      <c r="G30" s="21">
        <f>G28/G29/12*1000</f>
        <v>53922.520325203259</v>
      </c>
      <c r="H30" s="21">
        <v>82869.715447154478</v>
      </c>
      <c r="I30" s="21">
        <f>I28/I29/12*1000</f>
        <v>71656.447363945568</v>
      </c>
      <c r="J30" s="21">
        <f t="shared" ref="J30:M30" si="7">J28/J29/12*1000</f>
        <v>73806.14078486395</v>
      </c>
      <c r="K30" s="21">
        <f t="shared" si="7"/>
        <v>76020.325008409869</v>
      </c>
      <c r="L30" s="21">
        <f t="shared" si="7"/>
        <v>78300.934758662159</v>
      </c>
      <c r="M30" s="21">
        <f t="shared" si="7"/>
        <v>80649.962801422022</v>
      </c>
    </row>
    <row r="31" spans="1:250" outlineLevel="1" x14ac:dyDescent="0.25">
      <c r="A31" s="94" t="s">
        <v>35</v>
      </c>
      <c r="B31" s="42" t="s">
        <v>36</v>
      </c>
      <c r="C31" s="36" t="s">
        <v>22</v>
      </c>
      <c r="D31" s="21">
        <f>ROUND((D33/1000*12*D32),2)</f>
        <v>16018.21</v>
      </c>
      <c r="E31" s="21">
        <v>16476.98</v>
      </c>
      <c r="F31" s="21">
        <v>18307.900000000001</v>
      </c>
      <c r="G31" s="21">
        <f>ROUND((F31*$G$17),2)</f>
        <v>20706.23</v>
      </c>
      <c r="H31" s="21">
        <v>39022.53</v>
      </c>
      <c r="I31" s="21">
        <v>28547.928629999999</v>
      </c>
      <c r="J31" s="21">
        <f>I31*J17</f>
        <v>29404.366488899999</v>
      </c>
      <c r="K31" s="21">
        <f t="shared" ref="K31:M31" si="8">J31*K17</f>
        <v>30286.497483567</v>
      </c>
      <c r="L31" s="21">
        <f t="shared" si="8"/>
        <v>31195.092408074011</v>
      </c>
      <c r="M31" s="21">
        <f t="shared" si="8"/>
        <v>32130.945180316234</v>
      </c>
    </row>
    <row r="32" spans="1:250" outlineLevel="1" x14ac:dyDescent="0.25">
      <c r="A32" s="94"/>
      <c r="B32" s="42" t="s">
        <v>37</v>
      </c>
      <c r="C32" s="36" t="s">
        <v>32</v>
      </c>
      <c r="D32" s="73">
        <v>32</v>
      </c>
      <c r="E32" s="73">
        <v>32</v>
      </c>
      <c r="F32" s="73">
        <v>32</v>
      </c>
      <c r="G32" s="73">
        <f>D32</f>
        <v>32</v>
      </c>
      <c r="H32" s="73">
        <v>32</v>
      </c>
      <c r="I32" s="21">
        <v>33.200000000000003</v>
      </c>
      <c r="J32" s="21">
        <v>33.200000000000003</v>
      </c>
      <c r="K32" s="21">
        <v>33.200000000000003</v>
      </c>
      <c r="L32" s="21">
        <v>33.200000000000003</v>
      </c>
      <c r="M32" s="21">
        <v>33.200000000000003</v>
      </c>
    </row>
    <row r="33" spans="1:250" outlineLevel="1" x14ac:dyDescent="0.25">
      <c r="A33" s="94"/>
      <c r="B33" s="42" t="s">
        <v>38</v>
      </c>
      <c r="C33" s="36" t="s">
        <v>34</v>
      </c>
      <c r="D33" s="21">
        <v>41714.1</v>
      </c>
      <c r="E33" s="21">
        <f>E31/E32/12*1000</f>
        <v>42908.802083333336</v>
      </c>
      <c r="F33" s="21">
        <f>F31/F32/12*1000</f>
        <v>47676.822916666672</v>
      </c>
      <c r="G33" s="21">
        <f>G31/G32/12*1000</f>
        <v>53922.473958333336</v>
      </c>
      <c r="H33" s="21">
        <v>101621.171875</v>
      </c>
      <c r="I33" s="21">
        <f>I31/I32/12*1000</f>
        <v>71656.447364457825</v>
      </c>
      <c r="J33" s="21">
        <f t="shared" ref="J33:M33" si="9">J31/J32/12*1000</f>
        <v>73806.140785391559</v>
      </c>
      <c r="K33" s="21">
        <f t="shared" si="9"/>
        <v>76020.32500895331</v>
      </c>
      <c r="L33" s="21">
        <f t="shared" si="9"/>
        <v>78300.934759221898</v>
      </c>
      <c r="M33" s="21">
        <f t="shared" si="9"/>
        <v>80649.962801998568</v>
      </c>
    </row>
    <row r="34" spans="1:250" outlineLevel="1" x14ac:dyDescent="0.25">
      <c r="A34" s="94" t="s">
        <v>39</v>
      </c>
      <c r="B34" s="42" t="s">
        <v>40</v>
      </c>
      <c r="C34" s="36" t="s">
        <v>22</v>
      </c>
      <c r="D34" s="21">
        <f>ROUND((D36/1000*12*D35),2)</f>
        <v>24027.32</v>
      </c>
      <c r="E34" s="21">
        <v>24715.48</v>
      </c>
      <c r="F34" s="21">
        <v>27461.87</v>
      </c>
      <c r="G34" s="21">
        <f>ROUND((F34*$G$17),2)</f>
        <v>31059.37</v>
      </c>
      <c r="H34" s="21">
        <v>53588.54</v>
      </c>
      <c r="I34" s="21">
        <v>92694.780320000005</v>
      </c>
      <c r="J34" s="21">
        <f>I34*J17</f>
        <v>95475.623729600004</v>
      </c>
      <c r="K34" s="21">
        <f t="shared" ref="K34:M34" si="10">J34*K17</f>
        <v>98339.892441488002</v>
      </c>
      <c r="L34" s="21">
        <f t="shared" si="10"/>
        <v>101290.08921473264</v>
      </c>
      <c r="M34" s="21">
        <f t="shared" si="10"/>
        <v>104328.79189117462</v>
      </c>
    </row>
    <row r="35" spans="1:250" outlineLevel="1" x14ac:dyDescent="0.25">
      <c r="A35" s="94"/>
      <c r="B35" s="42" t="s">
        <v>41</v>
      </c>
      <c r="C35" s="36" t="s">
        <v>32</v>
      </c>
      <c r="D35" s="73">
        <v>48</v>
      </c>
      <c r="E35" s="73">
        <v>48</v>
      </c>
      <c r="F35" s="73">
        <v>48</v>
      </c>
      <c r="G35" s="73">
        <f>D35</f>
        <v>48</v>
      </c>
      <c r="H35" s="73">
        <v>48</v>
      </c>
      <c r="I35" s="21">
        <v>107.8</v>
      </c>
      <c r="J35" s="21">
        <v>107.8</v>
      </c>
      <c r="K35" s="21">
        <v>107.8</v>
      </c>
      <c r="L35" s="21">
        <v>107.8</v>
      </c>
      <c r="M35" s="21">
        <v>107.8</v>
      </c>
    </row>
    <row r="36" spans="1:250" outlineLevel="1" x14ac:dyDescent="0.25">
      <c r="A36" s="94"/>
      <c r="B36" s="42" t="s">
        <v>42</v>
      </c>
      <c r="C36" s="36" t="s">
        <v>34</v>
      </c>
      <c r="D36" s="21">
        <v>41714.1</v>
      </c>
      <c r="E36" s="21">
        <f>E34/E35/12*1000</f>
        <v>42908.819444444445</v>
      </c>
      <c r="F36" s="21">
        <f>F34/F35/12*1000</f>
        <v>47676.857638888891</v>
      </c>
      <c r="G36" s="21">
        <f>G34/G35/12*1000</f>
        <v>53922.517361111109</v>
      </c>
      <c r="H36" s="21">
        <v>93035.659722222234</v>
      </c>
      <c r="I36" s="21">
        <f>I34/I35/12*1000</f>
        <v>71656.447371675953</v>
      </c>
      <c r="J36" s="21">
        <f t="shared" ref="J36:M36" si="11">J34/J35/12*1000</f>
        <v>73806.14079282622</v>
      </c>
      <c r="K36" s="21">
        <f t="shared" si="11"/>
        <v>76020.325016611008</v>
      </c>
      <c r="L36" s="21">
        <f t="shared" si="11"/>
        <v>78300.934767109342</v>
      </c>
      <c r="M36" s="21">
        <f t="shared" si="11"/>
        <v>80649.962810122626</v>
      </c>
    </row>
    <row r="37" spans="1:250" x14ac:dyDescent="0.25">
      <c r="A37" s="34" t="s">
        <v>43</v>
      </c>
      <c r="B37" s="35" t="s">
        <v>44</v>
      </c>
      <c r="C37" s="36" t="s">
        <v>22</v>
      </c>
      <c r="D37" s="37">
        <f t="shared" ref="D37:M37" si="12">D38+D41+D55+D56+D57+D64+D65+D66+D69</f>
        <v>22804.569999999996</v>
      </c>
      <c r="E37" s="37">
        <f t="shared" si="12"/>
        <v>23457.690000000006</v>
      </c>
      <c r="F37" s="37">
        <f t="shared" si="12"/>
        <v>26064.320000000003</v>
      </c>
      <c r="G37" s="37">
        <f t="shared" si="12"/>
        <v>29478.739999999998</v>
      </c>
      <c r="H37" s="37">
        <f t="shared" si="12"/>
        <v>43039.640000000007</v>
      </c>
      <c r="I37" s="37">
        <f t="shared" si="12"/>
        <v>187021.10145492884</v>
      </c>
      <c r="J37" s="37">
        <f t="shared" si="12"/>
        <v>192631.73449857673</v>
      </c>
      <c r="K37" s="37">
        <f t="shared" si="12"/>
        <v>198410.68653353397</v>
      </c>
      <c r="L37" s="37">
        <f t="shared" si="12"/>
        <v>204363.00712954006</v>
      </c>
      <c r="M37" s="37">
        <f t="shared" si="12"/>
        <v>210493.89734342624</v>
      </c>
    </row>
    <row r="38" spans="1:250" x14ac:dyDescent="0.25">
      <c r="A38" s="34" t="s">
        <v>45</v>
      </c>
      <c r="B38" s="43" t="s">
        <v>46</v>
      </c>
      <c r="C38" s="44" t="s">
        <v>22</v>
      </c>
      <c r="D38" s="37">
        <f>D39+D40</f>
        <v>14015.59</v>
      </c>
      <c r="E38" s="37">
        <f>E39+E40</f>
        <v>14417</v>
      </c>
      <c r="F38" s="37">
        <f>F39+F40</f>
        <v>16019.02</v>
      </c>
      <c r="G38" s="37">
        <f>G39+G40</f>
        <v>18117.510000000002</v>
      </c>
      <c r="H38" s="37">
        <f>H39+H40</f>
        <v>26451.980000000003</v>
      </c>
      <c r="I38" s="37">
        <f t="shared" ref="I38:M38" si="13">I39+I40</f>
        <v>152150.59</v>
      </c>
      <c r="J38" s="37">
        <f t="shared" si="13"/>
        <v>156715.10769999999</v>
      </c>
      <c r="K38" s="37">
        <f t="shared" si="13"/>
        <v>161416.56093099999</v>
      </c>
      <c r="L38" s="37">
        <f t="shared" si="13"/>
        <v>166259.05775892999</v>
      </c>
      <c r="M38" s="37">
        <f t="shared" si="13"/>
        <v>171246.82949169789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</row>
    <row r="39" spans="1:250" x14ac:dyDescent="0.25">
      <c r="A39" s="38" t="s">
        <v>47</v>
      </c>
      <c r="B39" s="46" t="s">
        <v>48</v>
      </c>
      <c r="C39" s="36" t="s">
        <v>22</v>
      </c>
      <c r="D39" s="21">
        <v>11474.65</v>
      </c>
      <c r="E39" s="21">
        <v>11803.29</v>
      </c>
      <c r="F39" s="21">
        <v>13114.87</v>
      </c>
      <c r="G39" s="21">
        <f>ROUND((F39*$G$17),2)</f>
        <v>14832.92</v>
      </c>
      <c r="H39" s="21">
        <v>21656.400000000001</v>
      </c>
      <c r="I39" s="21">
        <f>135139.09</f>
        <v>135139.09</v>
      </c>
      <c r="J39" s="21">
        <f>I39*J$17</f>
        <v>139193.26269999999</v>
      </c>
      <c r="K39" s="21">
        <f t="shared" ref="K39:M44" si="14">J39*K$17</f>
        <v>143369.060581</v>
      </c>
      <c r="L39" s="21">
        <f t="shared" si="14"/>
        <v>147670.13239843</v>
      </c>
      <c r="M39" s="21">
        <f t="shared" si="14"/>
        <v>152100.23637038289</v>
      </c>
    </row>
    <row r="40" spans="1:250" x14ac:dyDescent="0.25">
      <c r="A40" s="38" t="s">
        <v>49</v>
      </c>
      <c r="B40" s="46" t="s">
        <v>50</v>
      </c>
      <c r="C40" s="36" t="s">
        <v>22</v>
      </c>
      <c r="D40" s="21">
        <v>2540.94</v>
      </c>
      <c r="E40" s="21">
        <v>2613.71</v>
      </c>
      <c r="F40" s="21">
        <v>2904.15</v>
      </c>
      <c r="G40" s="21">
        <f>ROUND((F40*$G$17),2)</f>
        <v>3284.59</v>
      </c>
      <c r="H40" s="21">
        <v>4795.58</v>
      </c>
      <c r="I40" s="21">
        <v>17011.5</v>
      </c>
      <c r="J40" s="21">
        <f>I40*J$17</f>
        <v>17521.845000000001</v>
      </c>
      <c r="K40" s="21">
        <f t="shared" si="14"/>
        <v>18047.500350000002</v>
      </c>
      <c r="L40" s="21">
        <f t="shared" si="14"/>
        <v>18588.925360500001</v>
      </c>
      <c r="M40" s="21">
        <f t="shared" si="14"/>
        <v>19146.593121315003</v>
      </c>
    </row>
    <row r="41" spans="1:250" x14ac:dyDescent="0.25">
      <c r="A41" s="34" t="s">
        <v>51</v>
      </c>
      <c r="B41" s="35" t="s">
        <v>52</v>
      </c>
      <c r="C41" s="44" t="s">
        <v>22</v>
      </c>
      <c r="D41" s="37">
        <f t="shared" ref="D41:M41" si="15">D42+D43+D47+D50+D51</f>
        <v>6501.48</v>
      </c>
      <c r="E41" s="37">
        <f t="shared" si="15"/>
        <v>6687.68</v>
      </c>
      <c r="F41" s="37">
        <f t="shared" si="15"/>
        <v>7430.8200000000006</v>
      </c>
      <c r="G41" s="37">
        <f t="shared" si="15"/>
        <v>8404.26</v>
      </c>
      <c r="H41" s="37">
        <f t="shared" si="15"/>
        <v>12270.41</v>
      </c>
      <c r="I41" s="37">
        <f t="shared" si="15"/>
        <v>20196.202083896027</v>
      </c>
      <c r="J41" s="37">
        <f t="shared" si="15"/>
        <v>20802.088146412909</v>
      </c>
      <c r="K41" s="37">
        <f t="shared" si="15"/>
        <v>21426.150790805295</v>
      </c>
      <c r="L41" s="37">
        <f t="shared" si="15"/>
        <v>22068.935314529455</v>
      </c>
      <c r="M41" s="37">
        <f t="shared" si="15"/>
        <v>22731.003373965341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</row>
    <row r="42" spans="1:250" x14ac:dyDescent="0.25">
      <c r="A42" s="38" t="s">
        <v>53</v>
      </c>
      <c r="B42" s="39" t="s">
        <v>54</v>
      </c>
      <c r="C42" s="36" t="s">
        <v>22</v>
      </c>
      <c r="D42" s="21">
        <v>1094.43</v>
      </c>
      <c r="E42" s="21">
        <v>1125.78</v>
      </c>
      <c r="F42" s="21">
        <v>1250.8800000000001</v>
      </c>
      <c r="G42" s="21">
        <f>ROUND((F42*$G$17),2)</f>
        <v>1414.75</v>
      </c>
      <c r="H42" s="21">
        <v>2065.5500000000002</v>
      </c>
      <c r="I42" s="21">
        <f>[1]подконтрольные!H15/1000</f>
        <v>1443.5474708471565</v>
      </c>
      <c r="J42" s="21">
        <f>I42*J$17</f>
        <v>1486.8538949725712</v>
      </c>
      <c r="K42" s="21">
        <f t="shared" si="14"/>
        <v>1531.4595118217483</v>
      </c>
      <c r="L42" s="21">
        <f t="shared" si="14"/>
        <v>1577.4032971764007</v>
      </c>
      <c r="M42" s="21">
        <f t="shared" si="14"/>
        <v>1624.7253960916928</v>
      </c>
    </row>
    <row r="43" spans="1:250" ht="25.5" x14ac:dyDescent="0.25">
      <c r="A43" s="38" t="s">
        <v>55</v>
      </c>
      <c r="B43" s="39" t="s">
        <v>56</v>
      </c>
      <c r="C43" s="36" t="s">
        <v>22</v>
      </c>
      <c r="D43" s="21">
        <f>D44+D45+D46</f>
        <v>2160.33</v>
      </c>
      <c r="E43" s="21">
        <f>E44+E45+E46</f>
        <v>2222.1999999999998</v>
      </c>
      <c r="F43" s="21">
        <f>F44+F45+F46</f>
        <v>2469.13</v>
      </c>
      <c r="G43" s="21">
        <f>G44+G45+G46</f>
        <v>2792.58</v>
      </c>
      <c r="H43" s="21">
        <v>4077.24</v>
      </c>
      <c r="I43" s="21">
        <f>I44+I45+I46</f>
        <v>4600.9144668715708</v>
      </c>
      <c r="J43" s="21">
        <f t="shared" ref="J43:M43" si="16">J44+J45+J46</f>
        <v>4738.9419008777186</v>
      </c>
      <c r="K43" s="21">
        <f t="shared" si="16"/>
        <v>4881.1101579040496</v>
      </c>
      <c r="L43" s="21">
        <f t="shared" si="16"/>
        <v>5027.5434626411716</v>
      </c>
      <c r="M43" s="21">
        <f t="shared" si="16"/>
        <v>5178.3697665204072</v>
      </c>
    </row>
    <row r="44" spans="1:250" x14ac:dyDescent="0.25">
      <c r="A44" s="38" t="s">
        <v>57</v>
      </c>
      <c r="B44" s="39" t="s">
        <v>58</v>
      </c>
      <c r="C44" s="36" t="s">
        <v>22</v>
      </c>
      <c r="D44" s="21">
        <v>1308.08</v>
      </c>
      <c r="E44" s="21">
        <v>1345.54</v>
      </c>
      <c r="F44" s="21">
        <v>1495.06</v>
      </c>
      <c r="G44" s="21">
        <f>ROUND((F44*$G$17),2)</f>
        <v>1690.91</v>
      </c>
      <c r="H44" s="21">
        <v>2468.77</v>
      </c>
      <c r="I44" s="21">
        <f>[1]подконтрольные!H34/1000+[1]подконтрольные!H35/1000</f>
        <v>1392.1508214507073</v>
      </c>
      <c r="J44" s="21">
        <f>I44*J$17</f>
        <v>1433.9153460942287</v>
      </c>
      <c r="K44" s="21">
        <f t="shared" si="14"/>
        <v>1476.9328064770555</v>
      </c>
      <c r="L44" s="21">
        <f t="shared" si="14"/>
        <v>1521.2407906713672</v>
      </c>
      <c r="M44" s="21">
        <f t="shared" si="14"/>
        <v>1566.8780143915083</v>
      </c>
    </row>
    <row r="45" spans="1:250" x14ac:dyDescent="0.25">
      <c r="A45" s="38" t="s">
        <v>59</v>
      </c>
      <c r="B45" s="39" t="s">
        <v>60</v>
      </c>
      <c r="C45" s="36" t="s">
        <v>22</v>
      </c>
      <c r="D45" s="21">
        <v>626.15</v>
      </c>
      <c r="E45" s="21">
        <v>644.08000000000004</v>
      </c>
      <c r="F45" s="21">
        <v>715.65</v>
      </c>
      <c r="G45" s="21">
        <f>ROUND((F45*$G$17),2)</f>
        <v>809.4</v>
      </c>
      <c r="H45" s="21">
        <v>1181.75</v>
      </c>
      <c r="I45" s="21">
        <f>([1]подконтрольные!H12+[1]подконтрольные!H13)/1000</f>
        <v>884.24750358173196</v>
      </c>
      <c r="J45" s="21">
        <f t="shared" ref="J45:M60" si="17">I45*J$17</f>
        <v>910.77492868918398</v>
      </c>
      <c r="K45" s="21">
        <f t="shared" si="17"/>
        <v>938.09817654985955</v>
      </c>
      <c r="L45" s="21">
        <f t="shared" si="17"/>
        <v>966.24112184635533</v>
      </c>
      <c r="M45" s="21">
        <f t="shared" si="17"/>
        <v>995.22835550174602</v>
      </c>
    </row>
    <row r="46" spans="1:250" x14ac:dyDescent="0.25">
      <c r="A46" s="38" t="s">
        <v>61</v>
      </c>
      <c r="B46" s="39" t="s">
        <v>62</v>
      </c>
      <c r="C46" s="36" t="s">
        <v>22</v>
      </c>
      <c r="D46" s="21">
        <v>226.1</v>
      </c>
      <c r="E46" s="21">
        <v>232.58</v>
      </c>
      <c r="F46" s="21">
        <v>258.42</v>
      </c>
      <c r="G46" s="21">
        <f>ROUND((F46*$G$17),2)</f>
        <v>292.27</v>
      </c>
      <c r="H46" s="21">
        <v>426.72</v>
      </c>
      <c r="I46" s="21">
        <f>[1]подконтрольные!H32/1000-I44</f>
        <v>2324.5161418391317</v>
      </c>
      <c r="J46" s="21">
        <f t="shared" si="17"/>
        <v>2394.2516260943057</v>
      </c>
      <c r="K46" s="21">
        <f t="shared" si="17"/>
        <v>2466.0791748771348</v>
      </c>
      <c r="L46" s="21">
        <f t="shared" si="17"/>
        <v>2540.0615501234488</v>
      </c>
      <c r="M46" s="21">
        <f t="shared" si="17"/>
        <v>2616.2633966271524</v>
      </c>
    </row>
    <row r="47" spans="1:250" x14ac:dyDescent="0.25">
      <c r="A47" s="38" t="s">
        <v>63</v>
      </c>
      <c r="B47" s="42" t="s">
        <v>64</v>
      </c>
      <c r="C47" s="36" t="s">
        <v>22</v>
      </c>
      <c r="D47" s="21">
        <f>D48+D49</f>
        <v>619.49</v>
      </c>
      <c r="E47" s="21">
        <f>E48+E49</f>
        <v>637.23</v>
      </c>
      <c r="F47" s="21">
        <f>F48+F49</f>
        <v>708.04</v>
      </c>
      <c r="G47" s="21">
        <f>G48+G49</f>
        <v>800.79</v>
      </c>
      <c r="H47" s="21">
        <v>1169.18</v>
      </c>
      <c r="I47" s="21">
        <f>I48+I49</f>
        <v>713.46287011853542</v>
      </c>
      <c r="J47" s="21">
        <f t="shared" ref="J47:M47" si="18">J48+J49</f>
        <v>734.86675622209157</v>
      </c>
      <c r="K47" s="21">
        <f t="shared" si="18"/>
        <v>756.91275890875443</v>
      </c>
      <c r="L47" s="21">
        <f t="shared" si="18"/>
        <v>779.62014167601706</v>
      </c>
      <c r="M47" s="21">
        <f t="shared" si="18"/>
        <v>803.00874592629759</v>
      </c>
    </row>
    <row r="48" spans="1:250" x14ac:dyDescent="0.25">
      <c r="A48" s="38" t="s">
        <v>65</v>
      </c>
      <c r="B48" s="39" t="s">
        <v>66</v>
      </c>
      <c r="C48" s="36" t="s">
        <v>22</v>
      </c>
      <c r="D48" s="21">
        <v>595.09</v>
      </c>
      <c r="E48" s="21">
        <v>612.13</v>
      </c>
      <c r="F48" s="21">
        <v>680.15</v>
      </c>
      <c r="G48" s="21">
        <f>ROUND((F48*$G$17),2)</f>
        <v>769.25</v>
      </c>
      <c r="H48" s="21">
        <v>1123.1300000000001</v>
      </c>
      <c r="I48" s="21">
        <f>[1]подконтрольные!H11/1000</f>
        <v>595.09355269508217</v>
      </c>
      <c r="J48" s="21">
        <f t="shared" si="17"/>
        <v>612.9463592759347</v>
      </c>
      <c r="K48" s="21">
        <f t="shared" si="17"/>
        <v>631.3347500542128</v>
      </c>
      <c r="L48" s="21">
        <f t="shared" si="17"/>
        <v>650.27479255583921</v>
      </c>
      <c r="M48" s="21">
        <f t="shared" si="17"/>
        <v>669.78303633251437</v>
      </c>
    </row>
    <row r="49" spans="1:250" x14ac:dyDescent="0.25">
      <c r="A49" s="38" t="s">
        <v>67</v>
      </c>
      <c r="B49" s="47" t="s">
        <v>68</v>
      </c>
      <c r="C49" s="36" t="s">
        <v>22</v>
      </c>
      <c r="D49" s="21">
        <v>24.4</v>
      </c>
      <c r="E49" s="21">
        <v>25.1</v>
      </c>
      <c r="F49" s="21">
        <v>27.89</v>
      </c>
      <c r="G49" s="21">
        <f>ROUND((F49*$G$17),2)</f>
        <v>31.54</v>
      </c>
      <c r="H49" s="21">
        <v>46.05</v>
      </c>
      <c r="I49" s="21">
        <f>[1]подконтрольные!H22/1000</f>
        <v>118.36931742345327</v>
      </c>
      <c r="J49" s="21">
        <f t="shared" si="17"/>
        <v>121.92039694615687</v>
      </c>
      <c r="K49" s="21">
        <f t="shared" si="17"/>
        <v>125.57800885454158</v>
      </c>
      <c r="L49" s="21">
        <f t="shared" si="17"/>
        <v>129.34534912017784</v>
      </c>
      <c r="M49" s="21">
        <f t="shared" si="17"/>
        <v>133.22570959378319</v>
      </c>
    </row>
    <row r="50" spans="1:250" x14ac:dyDescent="0.25">
      <c r="A50" s="38" t="s">
        <v>69</v>
      </c>
      <c r="B50" s="39" t="s">
        <v>70</v>
      </c>
      <c r="C50" s="36" t="s">
        <v>22</v>
      </c>
      <c r="D50" s="21">
        <v>73.97</v>
      </c>
      <c r="E50" s="21">
        <v>76.09</v>
      </c>
      <c r="F50" s="21">
        <v>84.55</v>
      </c>
      <c r="G50" s="21">
        <f>ROUND((F50*$G$17),2)</f>
        <v>95.63</v>
      </c>
      <c r="H50" s="21">
        <v>139.61000000000001</v>
      </c>
      <c r="I50" s="21">
        <f>[1]подконтрольные!H8/1000</f>
        <v>341.53704391244588</v>
      </c>
      <c r="J50" s="21">
        <f t="shared" si="17"/>
        <v>351.78315522981927</v>
      </c>
      <c r="K50" s="21">
        <f t="shared" si="17"/>
        <v>362.33664988671387</v>
      </c>
      <c r="L50" s="21">
        <f t="shared" si="17"/>
        <v>373.2067493833153</v>
      </c>
      <c r="M50" s="21">
        <f t="shared" si="17"/>
        <v>384.40295186481478</v>
      </c>
    </row>
    <row r="51" spans="1:250" x14ac:dyDescent="0.25">
      <c r="A51" s="38" t="s">
        <v>71</v>
      </c>
      <c r="B51" s="47" t="s">
        <v>72</v>
      </c>
      <c r="C51" s="36" t="s">
        <v>22</v>
      </c>
      <c r="D51" s="21">
        <f>D52+D53+D54</f>
        <v>2553.2599999999998</v>
      </c>
      <c r="E51" s="21">
        <f>E52+E53+E54</f>
        <v>2626.38</v>
      </c>
      <c r="F51" s="21">
        <f>F52+F53+F54</f>
        <v>2918.2200000000003</v>
      </c>
      <c r="G51" s="21">
        <f>G52+G53+G54</f>
        <v>3300.5099999999998</v>
      </c>
      <c r="H51" s="21">
        <v>4818.8300000000008</v>
      </c>
      <c r="I51" s="21">
        <f>I52+I53+I54</f>
        <v>13096.740232146318</v>
      </c>
      <c r="J51" s="21">
        <f t="shared" ref="J51:M51" si="19">J52+J53+J54</f>
        <v>13489.642439110707</v>
      </c>
      <c r="K51" s="21">
        <f t="shared" si="19"/>
        <v>13894.331712284029</v>
      </c>
      <c r="L51" s="21">
        <f t="shared" si="19"/>
        <v>14311.16166365255</v>
      </c>
      <c r="M51" s="21">
        <f t="shared" si="19"/>
        <v>14740.496513562128</v>
      </c>
    </row>
    <row r="52" spans="1:250" x14ac:dyDescent="0.25">
      <c r="A52" s="38" t="s">
        <v>73</v>
      </c>
      <c r="B52" s="39" t="s">
        <v>74</v>
      </c>
      <c r="C52" s="36" t="s">
        <v>22</v>
      </c>
      <c r="D52" s="21">
        <v>172.61</v>
      </c>
      <c r="E52" s="21">
        <v>177.55</v>
      </c>
      <c r="F52" s="21">
        <v>197.28</v>
      </c>
      <c r="G52" s="21">
        <f>ROUND((F52*$G$17),2)</f>
        <v>223.12</v>
      </c>
      <c r="H52" s="21">
        <v>325.77</v>
      </c>
      <c r="I52" s="21">
        <f>[1]подконтрольные!H24/1000</f>
        <v>221.01313136304012</v>
      </c>
      <c r="J52" s="21">
        <f t="shared" si="17"/>
        <v>227.64352530393131</v>
      </c>
      <c r="K52" s="21">
        <f t="shared" si="17"/>
        <v>234.47283106304926</v>
      </c>
      <c r="L52" s="21">
        <f t="shared" si="17"/>
        <v>241.50701599494073</v>
      </c>
      <c r="M52" s="21">
        <f t="shared" si="17"/>
        <v>248.75222647478896</v>
      </c>
    </row>
    <row r="53" spans="1:250" ht="25.5" x14ac:dyDescent="0.25">
      <c r="A53" s="38" t="s">
        <v>75</v>
      </c>
      <c r="B53" s="39" t="s">
        <v>76</v>
      </c>
      <c r="C53" s="36" t="s">
        <v>22</v>
      </c>
      <c r="D53" s="21">
        <v>2307.6799999999998</v>
      </c>
      <c r="E53" s="21">
        <v>2373.77</v>
      </c>
      <c r="F53" s="21">
        <v>2637.54</v>
      </c>
      <c r="G53" s="21">
        <f>ROUND((F53*$G$17),2)</f>
        <v>2983.06</v>
      </c>
      <c r="H53" s="21">
        <v>4355.34</v>
      </c>
      <c r="I53" s="21">
        <f>[1]подконтрольные!H25/1000</f>
        <v>3072.113886584491</v>
      </c>
      <c r="J53" s="21">
        <f t="shared" si="17"/>
        <v>3164.2773031820257</v>
      </c>
      <c r="K53" s="21">
        <f t="shared" si="17"/>
        <v>3259.2056222774863</v>
      </c>
      <c r="L53" s="21">
        <f t="shared" si="17"/>
        <v>3356.9817909458111</v>
      </c>
      <c r="M53" s="21">
        <f t="shared" si="17"/>
        <v>3457.6912446741853</v>
      </c>
    </row>
    <row r="54" spans="1:250" x14ac:dyDescent="0.25">
      <c r="A54" s="38" t="s">
        <v>77</v>
      </c>
      <c r="B54" s="47" t="s">
        <v>78</v>
      </c>
      <c r="C54" s="36" t="s">
        <v>22</v>
      </c>
      <c r="D54" s="21">
        <v>72.97</v>
      </c>
      <c r="E54" s="21">
        <v>75.06</v>
      </c>
      <c r="F54" s="21">
        <v>83.4</v>
      </c>
      <c r="G54" s="21">
        <f>ROUND((F54*$G$17),2)</f>
        <v>94.33</v>
      </c>
      <c r="H54" s="21">
        <v>137.72</v>
      </c>
      <c r="I54" s="21">
        <f>[1]подконтрольные!H17/1000+[1]подконтрольные!H18/1000+[1]подконтрольные!H20/1000+[1]подконтрольные!H21/1000+[1]подконтрольные!H23/1000+[1]подконтрольные!H49/1000</f>
        <v>9803.6132141987873</v>
      </c>
      <c r="J54" s="21">
        <f t="shared" si="17"/>
        <v>10097.721610624751</v>
      </c>
      <c r="K54" s="21">
        <f t="shared" si="17"/>
        <v>10400.653258943494</v>
      </c>
      <c r="L54" s="21">
        <f t="shared" si="17"/>
        <v>10712.672856711799</v>
      </c>
      <c r="M54" s="21">
        <f t="shared" si="17"/>
        <v>11034.053042413154</v>
      </c>
    </row>
    <row r="55" spans="1:250" x14ac:dyDescent="0.25">
      <c r="A55" s="34" t="s">
        <v>79</v>
      </c>
      <c r="B55" s="35" t="s">
        <v>80</v>
      </c>
      <c r="C55" s="44" t="s">
        <v>22</v>
      </c>
      <c r="D55" s="37">
        <v>44.87</v>
      </c>
      <c r="E55" s="37">
        <v>46.16</v>
      </c>
      <c r="F55" s="37">
        <v>51.29</v>
      </c>
      <c r="G55" s="37">
        <f>ROUND((F55*$G$17),2)</f>
        <v>58.01</v>
      </c>
      <c r="H55" s="37">
        <v>84.68</v>
      </c>
      <c r="I55" s="37"/>
      <c r="J55" s="21">
        <f t="shared" si="17"/>
        <v>0</v>
      </c>
      <c r="K55" s="37">
        <f t="shared" si="17"/>
        <v>0</v>
      </c>
      <c r="L55" s="37">
        <f t="shared" si="17"/>
        <v>0</v>
      </c>
      <c r="M55" s="77">
        <f t="shared" si="17"/>
        <v>0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</row>
    <row r="56" spans="1:250" x14ac:dyDescent="0.25">
      <c r="A56" s="34" t="s">
        <v>81</v>
      </c>
      <c r="B56" s="35" t="s">
        <v>82</v>
      </c>
      <c r="C56" s="44" t="s">
        <v>22</v>
      </c>
      <c r="D56" s="37">
        <v>529.78</v>
      </c>
      <c r="E56" s="37">
        <v>544.95000000000005</v>
      </c>
      <c r="F56" s="37">
        <v>605.5</v>
      </c>
      <c r="G56" s="37">
        <f>ROUND((F56*$G$17),2)</f>
        <v>684.82</v>
      </c>
      <c r="H56" s="37">
        <v>999.87</v>
      </c>
      <c r="I56" s="37">
        <f>[1]подконтрольные!H31/1000</f>
        <v>1252.2248879093002</v>
      </c>
      <c r="J56" s="37">
        <f t="shared" si="17"/>
        <v>1289.7916345465792</v>
      </c>
      <c r="K56" s="37">
        <f t="shared" si="17"/>
        <v>1328.4853835829765</v>
      </c>
      <c r="L56" s="37">
        <f t="shared" si="17"/>
        <v>1368.3399450904658</v>
      </c>
      <c r="M56" s="77">
        <f t="shared" si="17"/>
        <v>1409.3901434431798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</row>
    <row r="57" spans="1:250" ht="25.5" x14ac:dyDescent="0.25">
      <c r="A57" s="34" t="s">
        <v>83</v>
      </c>
      <c r="B57" s="35" t="s">
        <v>84</v>
      </c>
      <c r="C57" s="44" t="s">
        <v>22</v>
      </c>
      <c r="D57" s="37">
        <f>SUM(D58:D63)</f>
        <v>1183.0900000000001</v>
      </c>
      <c r="E57" s="37">
        <f>SUM(E58:E63)</f>
        <v>1216.97</v>
      </c>
      <c r="F57" s="37">
        <f>SUM(F58:F63)</f>
        <v>1352.2</v>
      </c>
      <c r="G57" s="37">
        <f>SUM(G58:G63)</f>
        <v>1529.33</v>
      </c>
      <c r="H57" s="37">
        <v>2232.8700000000003</v>
      </c>
      <c r="I57" s="37">
        <f>([1]подконтрольные!H29+[1]подконтрольные!H30)/1000</f>
        <v>12081.966279945813</v>
      </c>
      <c r="J57" s="37">
        <f t="shared" si="17"/>
        <v>12444.425268344188</v>
      </c>
      <c r="K57" s="37">
        <f t="shared" si="17"/>
        <v>12817.758026394515</v>
      </c>
      <c r="L57" s="37">
        <f t="shared" si="17"/>
        <v>13202.29076718635</v>
      </c>
      <c r="M57" s="77">
        <f t="shared" si="17"/>
        <v>13598.359490201941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</row>
    <row r="58" spans="1:250" x14ac:dyDescent="0.25">
      <c r="A58" s="38" t="s">
        <v>85</v>
      </c>
      <c r="B58" s="39" t="s">
        <v>86</v>
      </c>
      <c r="C58" s="36" t="s">
        <v>22</v>
      </c>
      <c r="D58" s="21">
        <v>127.45</v>
      </c>
      <c r="E58" s="21">
        <v>131.1</v>
      </c>
      <c r="F58" s="21">
        <v>145.66999999999999</v>
      </c>
      <c r="G58" s="21">
        <f t="shared" ref="G58:G65" si="20">ROUND((F58*$G$17),2)</f>
        <v>164.75</v>
      </c>
      <c r="H58" s="21">
        <v>240.54</v>
      </c>
      <c r="I58" s="21">
        <f>'[1]охрана труда'!O61/1000</f>
        <v>251.54687550000006</v>
      </c>
      <c r="J58" s="21">
        <f t="shared" si="17"/>
        <v>259.09328176500009</v>
      </c>
      <c r="K58" s="21">
        <f t="shared" si="17"/>
        <v>266.86608021795007</v>
      </c>
      <c r="L58" s="21">
        <f t="shared" si="17"/>
        <v>274.87206262448859</v>
      </c>
      <c r="M58" s="21">
        <f t="shared" si="17"/>
        <v>283.11822450322325</v>
      </c>
    </row>
    <row r="59" spans="1:250" x14ac:dyDescent="0.25">
      <c r="A59" s="38" t="s">
        <v>87</v>
      </c>
      <c r="B59" s="39" t="s">
        <v>88</v>
      </c>
      <c r="C59" s="36" t="s">
        <v>22</v>
      </c>
      <c r="D59" s="21">
        <v>262.04000000000002</v>
      </c>
      <c r="E59" s="21">
        <v>269.55</v>
      </c>
      <c r="F59" s="21">
        <v>299.5</v>
      </c>
      <c r="G59" s="21">
        <f t="shared" si="20"/>
        <v>338.73</v>
      </c>
      <c r="H59" s="21">
        <v>494.55</v>
      </c>
      <c r="I59" s="21">
        <f>'[1]охрана труда'!O14/1000+'[1]охрана труда'!O24/1000+'[1]охрана труда'!O34/1000+'[1]охрана труда'!O43/1000+'[1]охрана труда'!O52/1000</f>
        <v>324.34333999999996</v>
      </c>
      <c r="J59" s="21">
        <f t="shared" si="17"/>
        <v>334.07364019999994</v>
      </c>
      <c r="K59" s="21">
        <f t="shared" si="17"/>
        <v>344.09584940599996</v>
      </c>
      <c r="L59" s="21">
        <f t="shared" si="17"/>
        <v>354.41872488817995</v>
      </c>
      <c r="M59" s="21">
        <f t="shared" si="17"/>
        <v>365.05128663482537</v>
      </c>
    </row>
    <row r="60" spans="1:250" x14ac:dyDescent="0.25">
      <c r="A60" s="38" t="s">
        <v>89</v>
      </c>
      <c r="B60" s="39" t="s">
        <v>90</v>
      </c>
      <c r="C60" s="36" t="s">
        <v>22</v>
      </c>
      <c r="D60" s="21">
        <v>426.14</v>
      </c>
      <c r="E60" s="21">
        <v>438.34</v>
      </c>
      <c r="F60" s="21">
        <v>487.05</v>
      </c>
      <c r="G60" s="21">
        <f t="shared" si="20"/>
        <v>550.85</v>
      </c>
      <c r="H60" s="21">
        <v>804.27</v>
      </c>
      <c r="I60" s="21">
        <f>[1]подконтрольные!H30/1000</f>
        <v>9185.9069594035263</v>
      </c>
      <c r="J60" s="21">
        <f t="shared" si="17"/>
        <v>9461.4841681856324</v>
      </c>
      <c r="K60" s="21">
        <f t="shared" si="17"/>
        <v>9745.3286932312021</v>
      </c>
      <c r="L60" s="21">
        <f t="shared" si="17"/>
        <v>10037.688554028138</v>
      </c>
      <c r="M60" s="21">
        <f t="shared" si="17"/>
        <v>10338.819210648982</v>
      </c>
    </row>
    <row r="61" spans="1:250" ht="25.5" x14ac:dyDescent="0.25">
      <c r="A61" s="38" t="s">
        <v>91</v>
      </c>
      <c r="B61" s="39" t="s">
        <v>92</v>
      </c>
      <c r="C61" s="36" t="s">
        <v>22</v>
      </c>
      <c r="D61" s="21">
        <v>50.73</v>
      </c>
      <c r="E61" s="21">
        <v>52.18</v>
      </c>
      <c r="F61" s="21">
        <v>57.98</v>
      </c>
      <c r="G61" s="21">
        <f t="shared" si="20"/>
        <v>65.58</v>
      </c>
      <c r="H61" s="21">
        <v>95.74</v>
      </c>
      <c r="I61" s="21">
        <f>'[1]охрана труда'!O84/1000</f>
        <v>52.518947802296196</v>
      </c>
      <c r="J61" s="21">
        <f t="shared" ref="J61:M68" si="21">I61*J$17</f>
        <v>54.094516236365081</v>
      </c>
      <c r="K61" s="21">
        <f t="shared" si="21"/>
        <v>55.717351723456034</v>
      </c>
      <c r="L61" s="21">
        <f t="shared" si="21"/>
        <v>57.388872275159713</v>
      </c>
      <c r="M61" s="21">
        <f t="shared" si="21"/>
        <v>59.110538443414505</v>
      </c>
    </row>
    <row r="62" spans="1:250" ht="25.5" x14ac:dyDescent="0.25">
      <c r="A62" s="38" t="s">
        <v>93</v>
      </c>
      <c r="B62" s="39" t="s">
        <v>94</v>
      </c>
      <c r="C62" s="36" t="s">
        <v>22</v>
      </c>
      <c r="D62" s="21">
        <v>44.47</v>
      </c>
      <c r="E62" s="21">
        <v>45.74</v>
      </c>
      <c r="F62" s="21">
        <v>50.82</v>
      </c>
      <c r="G62" s="21">
        <f t="shared" si="20"/>
        <v>57.48</v>
      </c>
      <c r="H62" s="21">
        <v>83.93</v>
      </c>
      <c r="I62" s="21">
        <f>'[1]охрана труда'!O85/1000</f>
        <v>26.103918851610366</v>
      </c>
      <c r="J62" s="21">
        <f t="shared" si="21"/>
        <v>26.887036417158679</v>
      </c>
      <c r="K62" s="21">
        <f t="shared" si="21"/>
        <v>27.69364750967344</v>
      </c>
      <c r="L62" s="21">
        <f t="shared" si="21"/>
        <v>28.524456934963645</v>
      </c>
      <c r="M62" s="21">
        <f t="shared" si="21"/>
        <v>29.380190643012554</v>
      </c>
    </row>
    <row r="63" spans="1:250" x14ac:dyDescent="0.25">
      <c r="A63" s="38" t="s">
        <v>95</v>
      </c>
      <c r="B63" s="39" t="s">
        <v>78</v>
      </c>
      <c r="C63" s="36" t="s">
        <v>22</v>
      </c>
      <c r="D63" s="21">
        <v>272.26</v>
      </c>
      <c r="E63" s="21">
        <v>280.06</v>
      </c>
      <c r="F63" s="21">
        <v>311.18</v>
      </c>
      <c r="G63" s="21">
        <f t="shared" si="20"/>
        <v>351.94</v>
      </c>
      <c r="H63" s="21">
        <v>513.84</v>
      </c>
      <c r="I63" s="21">
        <f>I57-SUM(I58:I62)</f>
        <v>2241.5462383883805</v>
      </c>
      <c r="J63" s="21">
        <f t="shared" si="21"/>
        <v>2308.7926255400321</v>
      </c>
      <c r="K63" s="21">
        <f t="shared" si="21"/>
        <v>2378.0564043062332</v>
      </c>
      <c r="L63" s="21">
        <f t="shared" si="21"/>
        <v>2449.39809643542</v>
      </c>
      <c r="M63" s="21">
        <f t="shared" si="21"/>
        <v>2522.8800393284828</v>
      </c>
    </row>
    <row r="64" spans="1:250" x14ac:dyDescent="0.25">
      <c r="A64" s="34" t="s">
        <v>96</v>
      </c>
      <c r="B64" s="35" t="s">
        <v>97</v>
      </c>
      <c r="C64" s="44" t="s">
        <v>22</v>
      </c>
      <c r="D64" s="37">
        <v>60.42</v>
      </c>
      <c r="E64" s="37">
        <v>62.15</v>
      </c>
      <c r="F64" s="37">
        <v>69.06</v>
      </c>
      <c r="G64" s="37">
        <f t="shared" si="20"/>
        <v>78.11</v>
      </c>
      <c r="H64" s="37">
        <v>114.03</v>
      </c>
      <c r="I64" s="37">
        <f>[1]подконтрольные!H10/1000</f>
        <v>95.756478727087639</v>
      </c>
      <c r="J64" s="37">
        <f t="shared" si="21"/>
        <v>98.629173088900274</v>
      </c>
      <c r="K64" s="37">
        <f t="shared" si="21"/>
        <v>101.58804828156728</v>
      </c>
      <c r="L64" s="37">
        <f t="shared" si="21"/>
        <v>104.63568973001431</v>
      </c>
      <c r="M64" s="77">
        <f t="shared" si="21"/>
        <v>107.77476042191473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</row>
    <row r="65" spans="1:250" x14ac:dyDescent="0.25">
      <c r="A65" s="34" t="s">
        <v>98</v>
      </c>
      <c r="B65" s="41" t="s">
        <v>99</v>
      </c>
      <c r="C65" s="44" t="s">
        <v>22</v>
      </c>
      <c r="D65" s="37">
        <v>330.02</v>
      </c>
      <c r="E65" s="37">
        <v>339.47</v>
      </c>
      <c r="F65" s="37">
        <v>377.19</v>
      </c>
      <c r="G65" s="37">
        <f t="shared" si="20"/>
        <v>426.6</v>
      </c>
      <c r="H65" s="37">
        <v>622.86</v>
      </c>
      <c r="I65" s="37">
        <f>[1]подконтрольные!H14/1000</f>
        <v>587.88543715589651</v>
      </c>
      <c r="J65" s="37">
        <f t="shared" si="21"/>
        <v>605.52200027057347</v>
      </c>
      <c r="K65" s="37">
        <f t="shared" si="21"/>
        <v>623.68766027869071</v>
      </c>
      <c r="L65" s="37">
        <f t="shared" si="21"/>
        <v>642.39829008705146</v>
      </c>
      <c r="M65" s="77">
        <f t="shared" si="21"/>
        <v>661.67023878966302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</row>
    <row r="66" spans="1:250" x14ac:dyDescent="0.25">
      <c r="A66" s="34" t="s">
        <v>100</v>
      </c>
      <c r="B66" s="35" t="s">
        <v>101</v>
      </c>
      <c r="C66" s="44" t="s">
        <v>22</v>
      </c>
      <c r="D66" s="37">
        <f>D67+D68</f>
        <v>139.32</v>
      </c>
      <c r="E66" s="37">
        <f>E67+E68</f>
        <v>143.31</v>
      </c>
      <c r="F66" s="37">
        <f>F67+F68</f>
        <v>159.24</v>
      </c>
      <c r="G66" s="37">
        <f>G67+G68</f>
        <v>180.1</v>
      </c>
      <c r="H66" s="37">
        <f>H67+H68</f>
        <v>262.94</v>
      </c>
      <c r="I66" s="37">
        <f t="shared" ref="I66:M66" si="22">I67+I68</f>
        <v>656.47628729471262</v>
      </c>
      <c r="J66" s="37">
        <f t="shared" si="22"/>
        <v>676.17057591355399</v>
      </c>
      <c r="K66" s="37">
        <f t="shared" si="22"/>
        <v>696.45569319096069</v>
      </c>
      <c r="L66" s="37">
        <f t="shared" si="22"/>
        <v>717.34936398668958</v>
      </c>
      <c r="M66" s="37">
        <f t="shared" si="22"/>
        <v>738.86984490629015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</row>
    <row r="67" spans="1:250" x14ac:dyDescent="0.25">
      <c r="A67" s="38" t="s">
        <v>102</v>
      </c>
      <c r="B67" s="39" t="s">
        <v>103</v>
      </c>
      <c r="C67" s="36" t="s">
        <v>22</v>
      </c>
      <c r="D67" s="21">
        <v>103.81</v>
      </c>
      <c r="E67" s="21">
        <v>106.78</v>
      </c>
      <c r="F67" s="21">
        <v>118.65</v>
      </c>
      <c r="G67" s="21">
        <f>ROUND((F67*$G$17),2)</f>
        <v>134.19</v>
      </c>
      <c r="H67" s="21">
        <v>195.92</v>
      </c>
      <c r="I67" s="21">
        <f>[1]подконтрольные!H52/1000</f>
        <v>87.28585110002399</v>
      </c>
      <c r="J67" s="21">
        <f t="shared" si="21"/>
        <v>89.904426633024713</v>
      </c>
      <c r="K67" s="21">
        <f t="shared" si="21"/>
        <v>92.601559432015463</v>
      </c>
      <c r="L67" s="21">
        <f t="shared" si="21"/>
        <v>95.379606214975936</v>
      </c>
      <c r="M67" s="78">
        <f t="shared" si="21"/>
        <v>98.240994401425212</v>
      </c>
    </row>
    <row r="68" spans="1:250" x14ac:dyDescent="0.25">
      <c r="A68" s="38" t="s">
        <v>104</v>
      </c>
      <c r="B68" s="39" t="s">
        <v>105</v>
      </c>
      <c r="C68" s="36" t="s">
        <v>22</v>
      </c>
      <c r="D68" s="21">
        <v>35.51</v>
      </c>
      <c r="E68" s="21">
        <v>36.53</v>
      </c>
      <c r="F68" s="21">
        <v>40.590000000000003</v>
      </c>
      <c r="G68" s="21">
        <f>ROUND((F68*$G$17),2)</f>
        <v>45.91</v>
      </c>
      <c r="H68" s="21">
        <v>67.02</v>
      </c>
      <c r="I68" s="21">
        <f>[1]подконтрольные!H51/1000</f>
        <v>569.19043619468857</v>
      </c>
      <c r="J68" s="21">
        <f t="shared" si="21"/>
        <v>586.26614928052925</v>
      </c>
      <c r="K68" s="21">
        <f t="shared" si="21"/>
        <v>603.85413375894518</v>
      </c>
      <c r="L68" s="21">
        <f t="shared" si="21"/>
        <v>621.9697577717136</v>
      </c>
      <c r="M68" s="78">
        <f t="shared" si="21"/>
        <v>640.628850504865</v>
      </c>
    </row>
    <row r="69" spans="1:250" x14ac:dyDescent="0.25">
      <c r="A69" s="34" t="s">
        <v>106</v>
      </c>
      <c r="B69" s="35" t="s">
        <v>107</v>
      </c>
      <c r="C69" s="44" t="s">
        <v>22</v>
      </c>
      <c r="D69" s="37">
        <f>D70</f>
        <v>0</v>
      </c>
      <c r="E69" s="37">
        <f>E70</f>
        <v>0</v>
      </c>
      <c r="F69" s="37">
        <v>0</v>
      </c>
      <c r="G69" s="37">
        <f>G70</f>
        <v>0</v>
      </c>
      <c r="H69" s="37">
        <f>H70</f>
        <v>0</v>
      </c>
      <c r="I69" s="37">
        <f t="shared" ref="I69:M69" si="23">I70</f>
        <v>0</v>
      </c>
      <c r="J69" s="37">
        <f t="shared" si="23"/>
        <v>0</v>
      </c>
      <c r="K69" s="37">
        <f t="shared" si="23"/>
        <v>0</v>
      </c>
      <c r="L69" s="37">
        <f t="shared" si="23"/>
        <v>0</v>
      </c>
      <c r="M69" s="37">
        <f t="shared" si="23"/>
        <v>0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</row>
    <row r="70" spans="1:250" x14ac:dyDescent="0.25">
      <c r="A70" s="38" t="s">
        <v>108</v>
      </c>
      <c r="B70" s="39" t="s">
        <v>109</v>
      </c>
      <c r="C70" s="36" t="s">
        <v>22</v>
      </c>
      <c r="D70" s="21">
        <v>0</v>
      </c>
      <c r="E70" s="21">
        <v>0</v>
      </c>
      <c r="F70" s="21">
        <v>0</v>
      </c>
      <c r="G70" s="21">
        <f>ROUND((F70*$G$17),2)</f>
        <v>0</v>
      </c>
      <c r="H70" s="21">
        <v>0</v>
      </c>
      <c r="I70" s="21"/>
      <c r="J70" s="21"/>
      <c r="K70" s="21"/>
      <c r="L70" s="21"/>
      <c r="M70" s="78"/>
    </row>
    <row r="71" spans="1:250" x14ac:dyDescent="0.25">
      <c r="A71" s="48"/>
      <c r="B71" s="35" t="s">
        <v>110</v>
      </c>
      <c r="C71" s="36" t="s">
        <v>22</v>
      </c>
      <c r="D71" s="49">
        <f t="shared" ref="D71:M71" si="24">D24+D27+D37</f>
        <v>83510.03</v>
      </c>
      <c r="E71" s="49">
        <f t="shared" si="24"/>
        <v>85901.79</v>
      </c>
      <c r="F71" s="49">
        <f t="shared" si="24"/>
        <v>95447.21</v>
      </c>
      <c r="G71" s="49">
        <f t="shared" si="24"/>
        <v>107950.78</v>
      </c>
      <c r="H71" s="49">
        <f t="shared" si="24"/>
        <v>176680.40000000002</v>
      </c>
      <c r="I71" s="49">
        <f t="shared" si="24"/>
        <v>350657.51964222046</v>
      </c>
      <c r="J71" s="49">
        <f t="shared" si="24"/>
        <v>361177.24523148709</v>
      </c>
      <c r="K71" s="49">
        <f t="shared" si="24"/>
        <v>372012.5625884317</v>
      </c>
      <c r="L71" s="49">
        <f t="shared" si="24"/>
        <v>383172.9394660847</v>
      </c>
      <c r="M71" s="49">
        <f t="shared" si="24"/>
        <v>394668.12765006721</v>
      </c>
      <c r="N71" s="2">
        <f>I71/(I15-385)</f>
        <v>62.988122267039721</v>
      </c>
    </row>
    <row r="72" spans="1:250" ht="15.75" x14ac:dyDescent="0.25">
      <c r="A72" s="50" t="s">
        <v>111</v>
      </c>
      <c r="B72" s="30" t="s">
        <v>112</v>
      </c>
      <c r="C72" s="31"/>
      <c r="D72" s="51"/>
      <c r="E72" s="79"/>
      <c r="F72" s="51"/>
      <c r="G72" s="51"/>
      <c r="H72" s="51"/>
      <c r="I72" s="51"/>
      <c r="J72" s="51"/>
      <c r="K72" s="51"/>
      <c r="L72" s="51"/>
      <c r="M72" s="8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</row>
    <row r="73" spans="1:250" x14ac:dyDescent="0.25">
      <c r="A73" s="34" t="s">
        <v>113</v>
      </c>
      <c r="B73" s="35" t="s">
        <v>114</v>
      </c>
      <c r="C73" s="36" t="s">
        <v>22</v>
      </c>
      <c r="D73" s="37">
        <f>D74+D75</f>
        <v>48.9</v>
      </c>
      <c r="E73" s="37">
        <f>E74+E75</f>
        <v>0.53</v>
      </c>
      <c r="F73" s="37">
        <f>F74+F75</f>
        <v>3585.13</v>
      </c>
      <c r="G73" s="37">
        <f>G74+G75</f>
        <v>4735.8899999999994</v>
      </c>
      <c r="H73" s="37">
        <f>H74+H75</f>
        <v>7434.37</v>
      </c>
      <c r="I73" s="37">
        <f t="shared" ref="I73:M73" si="25">I74+I75</f>
        <v>21164.281877165147</v>
      </c>
      <c r="J73" s="37">
        <f t="shared" si="25"/>
        <v>21164.281877165147</v>
      </c>
      <c r="K73" s="37">
        <f t="shared" si="25"/>
        <v>21164.281877165147</v>
      </c>
      <c r="L73" s="37">
        <f t="shared" si="25"/>
        <v>21164.281877165147</v>
      </c>
      <c r="M73" s="37">
        <f t="shared" si="25"/>
        <v>21164.281877165147</v>
      </c>
    </row>
    <row r="74" spans="1:250" x14ac:dyDescent="0.25">
      <c r="A74" s="38" t="s">
        <v>115</v>
      </c>
      <c r="B74" s="39" t="s">
        <v>116</v>
      </c>
      <c r="C74" s="36" t="s">
        <v>22</v>
      </c>
      <c r="D74" s="21">
        <v>48.23</v>
      </c>
      <c r="E74" s="21">
        <v>0.53</v>
      </c>
      <c r="F74" s="21">
        <v>3585.13</v>
      </c>
      <c r="G74" s="21">
        <f>[3]Аренда!M9+[3]Аренда!M8</f>
        <v>4735.3599999999997</v>
      </c>
      <c r="H74" s="21">
        <v>7434.37</v>
      </c>
      <c r="I74" s="21">
        <f>'[1]неподконтрольные ээ'!C10/1000</f>
        <v>21049.260466400003</v>
      </c>
      <c r="J74" s="21">
        <f>I74</f>
        <v>21049.260466400003</v>
      </c>
      <c r="K74" s="21">
        <f t="shared" ref="K74:M75" si="26">J74</f>
        <v>21049.260466400003</v>
      </c>
      <c r="L74" s="21">
        <f t="shared" si="26"/>
        <v>21049.260466400003</v>
      </c>
      <c r="M74" s="21">
        <f t="shared" si="26"/>
        <v>21049.260466400003</v>
      </c>
    </row>
    <row r="75" spans="1:250" x14ac:dyDescent="0.25">
      <c r="A75" s="38" t="s">
        <v>117</v>
      </c>
      <c r="B75" s="39" t="s">
        <v>118</v>
      </c>
      <c r="C75" s="36" t="s">
        <v>22</v>
      </c>
      <c r="D75" s="21">
        <v>0.67</v>
      </c>
      <c r="E75" s="21">
        <v>0</v>
      </c>
      <c r="F75" s="21">
        <v>0</v>
      </c>
      <c r="G75" s="21">
        <f>[3]Аренда!M10</f>
        <v>0.53</v>
      </c>
      <c r="H75" s="21">
        <v>0</v>
      </c>
      <c r="I75" s="21">
        <f>'[1]неподконтрольные ээ'!F10/1000</f>
        <v>115.02141076514391</v>
      </c>
      <c r="J75" s="21">
        <f>I75</f>
        <v>115.02141076514391</v>
      </c>
      <c r="K75" s="21">
        <f t="shared" si="26"/>
        <v>115.02141076514391</v>
      </c>
      <c r="L75" s="21">
        <f t="shared" si="26"/>
        <v>115.02141076514391</v>
      </c>
      <c r="M75" s="21">
        <f t="shared" si="26"/>
        <v>115.02141076514391</v>
      </c>
    </row>
    <row r="76" spans="1:250" x14ac:dyDescent="0.25">
      <c r="A76" s="34" t="s">
        <v>119</v>
      </c>
      <c r="B76" s="35" t="s">
        <v>120</v>
      </c>
      <c r="C76" s="36" t="s">
        <v>22</v>
      </c>
      <c r="D76" s="37">
        <f>D77+D78</f>
        <v>18008.45</v>
      </c>
      <c r="E76" s="37">
        <f>E77+E78</f>
        <v>16480.830000000002</v>
      </c>
      <c r="F76" s="37">
        <f>F77+F78</f>
        <v>18132.310000000001</v>
      </c>
      <c r="G76" s="37">
        <f>G77+G78</f>
        <v>21392.32</v>
      </c>
      <c r="H76" s="37">
        <f>H77+H78</f>
        <v>30763.38</v>
      </c>
      <c r="I76" s="37">
        <f t="shared" ref="I76:M76" si="27">I77+I78</f>
        <v>38188.273852407074</v>
      </c>
      <c r="J76" s="37">
        <f t="shared" si="27"/>
        <v>38188.273852407074</v>
      </c>
      <c r="K76" s="37">
        <f t="shared" si="27"/>
        <v>38188.273852407074</v>
      </c>
      <c r="L76" s="37">
        <f t="shared" si="27"/>
        <v>38188.273852407074</v>
      </c>
      <c r="M76" s="37">
        <f t="shared" si="27"/>
        <v>38188.273852407074</v>
      </c>
    </row>
    <row r="77" spans="1:250" x14ac:dyDescent="0.25">
      <c r="A77" s="38" t="s">
        <v>121</v>
      </c>
      <c r="B77" s="39" t="s">
        <v>122</v>
      </c>
      <c r="C77" s="36" t="s">
        <v>22</v>
      </c>
      <c r="D77" s="21">
        <f>16762.66</f>
        <v>16762.66</v>
      </c>
      <c r="E77" s="21">
        <v>15091.41</v>
      </c>
      <c r="F77" s="21">
        <v>16367.66</v>
      </c>
      <c r="G77" s="21">
        <v>18994.39</v>
      </c>
      <c r="H77" s="21">
        <v>28392.13</v>
      </c>
      <c r="I77" s="21">
        <f>'[1]неподконтрольные ээ'!C8/1000</f>
        <v>34994.504974278178</v>
      </c>
      <c r="J77" s="21">
        <f>I77</f>
        <v>34994.504974278178</v>
      </c>
      <c r="K77" s="21">
        <f t="shared" ref="K77:M78" si="28">J77</f>
        <v>34994.504974278178</v>
      </c>
      <c r="L77" s="21">
        <f t="shared" si="28"/>
        <v>34994.504974278178</v>
      </c>
      <c r="M77" s="21">
        <f t="shared" si="28"/>
        <v>34994.504974278178</v>
      </c>
    </row>
    <row r="78" spans="1:250" x14ac:dyDescent="0.25">
      <c r="A78" s="38" t="s">
        <v>123</v>
      </c>
      <c r="B78" s="39" t="s">
        <v>124</v>
      </c>
      <c r="C78" s="36" t="s">
        <v>22</v>
      </c>
      <c r="D78" s="21">
        <v>1245.79</v>
      </c>
      <c r="E78" s="21">
        <v>1389.42</v>
      </c>
      <c r="F78" s="21">
        <v>1764.65</v>
      </c>
      <c r="G78" s="21">
        <v>2397.9299999999998</v>
      </c>
      <c r="H78" s="21">
        <v>2371.25</v>
      </c>
      <c r="I78" s="21">
        <f>'[1]неподконтрольные ээ'!F8/1000</f>
        <v>3193.7688781288953</v>
      </c>
      <c r="J78" s="21">
        <f>I78</f>
        <v>3193.7688781288953</v>
      </c>
      <c r="K78" s="21">
        <f t="shared" si="28"/>
        <v>3193.7688781288953</v>
      </c>
      <c r="L78" s="21">
        <f t="shared" si="28"/>
        <v>3193.7688781288953</v>
      </c>
      <c r="M78" s="21">
        <f t="shared" si="28"/>
        <v>3193.7688781288953</v>
      </c>
    </row>
    <row r="79" spans="1:250" x14ac:dyDescent="0.25">
      <c r="A79" s="34" t="s">
        <v>125</v>
      </c>
      <c r="B79" s="35" t="s">
        <v>126</v>
      </c>
      <c r="C79" s="36" t="s">
        <v>22</v>
      </c>
      <c r="D79" s="37">
        <f>D80+D81+D82+D83</f>
        <v>2072.2199999999998</v>
      </c>
      <c r="E79" s="37">
        <f>E80+E81+E82+E83</f>
        <v>2269.7200000000003</v>
      </c>
      <c r="F79" s="37">
        <f>F80+F81+F82+F83</f>
        <v>2692.5</v>
      </c>
      <c r="G79" s="37">
        <f>G80+G81+G82+G83</f>
        <v>2893.15</v>
      </c>
      <c r="H79" s="37">
        <f>H80+H81+H82+H83</f>
        <v>4114.92677</v>
      </c>
      <c r="I79" s="37">
        <f t="shared" ref="I79:M79" si="29">I80+I81+I82+I83</f>
        <v>5700.8081712303656</v>
      </c>
      <c r="J79" s="37">
        <f t="shared" si="29"/>
        <v>5700.8081712303656</v>
      </c>
      <c r="K79" s="37">
        <f t="shared" si="29"/>
        <v>5700.8081712303656</v>
      </c>
      <c r="L79" s="37">
        <f t="shared" si="29"/>
        <v>5700.8081712303656</v>
      </c>
      <c r="M79" s="37">
        <f t="shared" si="29"/>
        <v>5700.8081712303656</v>
      </c>
    </row>
    <row r="80" spans="1:250" x14ac:dyDescent="0.25">
      <c r="A80" s="38" t="s">
        <v>127</v>
      </c>
      <c r="B80" s="39" t="s">
        <v>128</v>
      </c>
      <c r="C80" s="36" t="s">
        <v>22</v>
      </c>
      <c r="D80" s="21">
        <v>0</v>
      </c>
      <c r="E80" s="21">
        <v>0</v>
      </c>
      <c r="F80" s="21">
        <v>0</v>
      </c>
      <c r="G80" s="21"/>
      <c r="H80" s="21"/>
      <c r="I80" s="21"/>
      <c r="J80" s="21"/>
      <c r="K80" s="21"/>
      <c r="L80" s="21"/>
      <c r="M80" s="78"/>
    </row>
    <row r="81" spans="1:250" x14ac:dyDescent="0.25">
      <c r="A81" s="38" t="s">
        <v>127</v>
      </c>
      <c r="B81" s="39" t="s">
        <v>129</v>
      </c>
      <c r="C81" s="36" t="s">
        <v>22</v>
      </c>
      <c r="D81" s="21">
        <v>298.02999999999997</v>
      </c>
      <c r="E81" s="21">
        <v>297.81</v>
      </c>
      <c r="F81" s="21">
        <v>303.25</v>
      </c>
      <c r="G81" s="21">
        <f>'[3]Юр.,зем.нал'!L42</f>
        <v>526</v>
      </c>
      <c r="H81" s="21">
        <v>532.4</v>
      </c>
      <c r="I81" s="21">
        <f>'[1]неподконтрольные ээ'!H35/1000</f>
        <v>543.93721007740783</v>
      </c>
      <c r="J81" s="21">
        <f>I81</f>
        <v>543.93721007740783</v>
      </c>
      <c r="K81" s="21">
        <f t="shared" ref="K81:M81" si="30">J81</f>
        <v>543.93721007740783</v>
      </c>
      <c r="L81" s="21">
        <f t="shared" si="30"/>
        <v>543.93721007740783</v>
      </c>
      <c r="M81" s="21">
        <f t="shared" si="30"/>
        <v>543.93721007740783</v>
      </c>
    </row>
    <row r="82" spans="1:250" x14ac:dyDescent="0.25">
      <c r="A82" s="38" t="s">
        <v>130</v>
      </c>
      <c r="B82" s="39" t="s">
        <v>131</v>
      </c>
      <c r="C82" s="36" t="s">
        <v>22</v>
      </c>
      <c r="D82" s="21">
        <v>1745.57</v>
      </c>
      <c r="E82" s="21">
        <v>1943.34</v>
      </c>
      <c r="F82" s="21">
        <v>2366.0100000000002</v>
      </c>
      <c r="G82" s="21">
        <v>2343.94</v>
      </c>
      <c r="H82" s="21">
        <v>3559.45</v>
      </c>
      <c r="I82" s="21">
        <f>'[1]неподконтрольные ээ'!H36/1000</f>
        <v>5124.0182357108151</v>
      </c>
      <c r="J82" s="21">
        <f t="shared" ref="J82:M83" si="31">I82</f>
        <v>5124.0182357108151</v>
      </c>
      <c r="K82" s="21">
        <f t="shared" si="31"/>
        <v>5124.0182357108151</v>
      </c>
      <c r="L82" s="21">
        <f t="shared" si="31"/>
        <v>5124.0182357108151</v>
      </c>
      <c r="M82" s="21">
        <f t="shared" si="31"/>
        <v>5124.0182357108151</v>
      </c>
    </row>
    <row r="83" spans="1:250" x14ac:dyDescent="0.25">
      <c r="A83" s="38" t="s">
        <v>132</v>
      </c>
      <c r="B83" s="42" t="s">
        <v>133</v>
      </c>
      <c r="C83" s="36" t="s">
        <v>22</v>
      </c>
      <c r="D83" s="21">
        <v>28.62</v>
      </c>
      <c r="E83" s="21">
        <v>28.57</v>
      </c>
      <c r="F83" s="21">
        <v>23.24</v>
      </c>
      <c r="G83" s="21">
        <v>23.21</v>
      </c>
      <c r="H83" s="21">
        <v>23.076770000000003</v>
      </c>
      <c r="I83" s="21">
        <f>'[1]неподконтрольные ээ'!H37/1000</f>
        <v>32.852725442142223</v>
      </c>
      <c r="J83" s="21">
        <f t="shared" si="31"/>
        <v>32.852725442142223</v>
      </c>
      <c r="K83" s="21">
        <f t="shared" si="31"/>
        <v>32.852725442142223</v>
      </c>
      <c r="L83" s="21">
        <f t="shared" si="31"/>
        <v>32.852725442142223</v>
      </c>
      <c r="M83" s="21">
        <f t="shared" si="31"/>
        <v>32.852725442142223</v>
      </c>
    </row>
    <row r="84" spans="1:250" x14ac:dyDescent="0.25">
      <c r="A84" s="34" t="s">
        <v>134</v>
      </c>
      <c r="B84" s="52" t="s">
        <v>135</v>
      </c>
      <c r="C84" s="36" t="s">
        <v>22</v>
      </c>
      <c r="D84" s="37">
        <f>D27*D85/100</f>
        <v>18412.93648</v>
      </c>
      <c r="E84" s="37">
        <v>18940.3</v>
      </c>
      <c r="F84" s="37">
        <f>ROUND((F27*F85/100),2)</f>
        <v>21044.94</v>
      </c>
      <c r="G84" s="37">
        <f>ROUND((G27*G85/100),2)</f>
        <v>23801.83</v>
      </c>
      <c r="H84" s="37">
        <v>40548.42</v>
      </c>
      <c r="I84" s="37">
        <f>I27*I85/100</f>
        <v>49666.516799999998</v>
      </c>
      <c r="J84" s="37">
        <f t="shared" ref="J84:M84" si="32">J27*J85/100</f>
        <v>51156.512303999996</v>
      </c>
      <c r="K84" s="37">
        <f t="shared" si="32"/>
        <v>52691.207673120007</v>
      </c>
      <c r="L84" s="37">
        <f t="shared" si="32"/>
        <v>54271.943903313593</v>
      </c>
      <c r="M84" s="37">
        <f t="shared" si="32"/>
        <v>55900.102220413006</v>
      </c>
    </row>
    <row r="85" spans="1:250" x14ac:dyDescent="0.25">
      <c r="A85" s="38" t="s">
        <v>136</v>
      </c>
      <c r="B85" s="42" t="s">
        <v>137</v>
      </c>
      <c r="C85" s="36" t="s">
        <v>9</v>
      </c>
      <c r="D85" s="21">
        <v>30.4</v>
      </c>
      <c r="E85" s="21">
        <v>30.4</v>
      </c>
      <c r="F85" s="21">
        <v>30.4</v>
      </c>
      <c r="G85" s="21">
        <v>30.4</v>
      </c>
      <c r="H85" s="21">
        <v>30.4</v>
      </c>
      <c r="I85" s="21">
        <v>30.4</v>
      </c>
      <c r="J85" s="21">
        <v>30.4</v>
      </c>
      <c r="K85" s="21">
        <v>30.4</v>
      </c>
      <c r="L85" s="21">
        <v>30.4</v>
      </c>
      <c r="M85" s="21">
        <v>30.4</v>
      </c>
    </row>
    <row r="86" spans="1:250" x14ac:dyDescent="0.25">
      <c r="A86" s="34" t="s">
        <v>138</v>
      </c>
      <c r="B86" s="35" t="s">
        <v>139</v>
      </c>
      <c r="C86" s="36" t="s">
        <v>22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21"/>
      <c r="J86" s="21"/>
      <c r="K86" s="21"/>
      <c r="L86" s="21"/>
      <c r="M86" s="78"/>
    </row>
    <row r="87" spans="1:250" ht="25.5" hidden="1" outlineLevel="1" x14ac:dyDescent="0.25">
      <c r="A87" s="34" t="s">
        <v>140</v>
      </c>
      <c r="B87" s="35" t="s">
        <v>141</v>
      </c>
      <c r="C87" s="36" t="s">
        <v>22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21"/>
      <c r="J87" s="21"/>
      <c r="K87" s="37"/>
      <c r="L87" s="37"/>
      <c r="M87" s="77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</row>
    <row r="88" spans="1:250" hidden="1" outlineLevel="1" x14ac:dyDescent="0.25">
      <c r="A88" s="34" t="s">
        <v>142</v>
      </c>
      <c r="B88" s="35" t="s">
        <v>143</v>
      </c>
      <c r="C88" s="36" t="s">
        <v>22</v>
      </c>
      <c r="D88" s="37">
        <f>13336.34</f>
        <v>13336.34</v>
      </c>
      <c r="E88" s="37">
        <f>13973</f>
        <v>13973</v>
      </c>
      <c r="F88" s="37">
        <v>0</v>
      </c>
      <c r="G88" s="37">
        <v>0</v>
      </c>
      <c r="H88" s="49">
        <v>0</v>
      </c>
      <c r="I88" s="21"/>
      <c r="J88" s="21"/>
      <c r="K88" s="37"/>
      <c r="L88" s="37"/>
      <c r="M88" s="77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</row>
    <row r="89" spans="1:250" hidden="1" outlineLevel="1" x14ac:dyDescent="0.25">
      <c r="A89" s="34" t="s">
        <v>144</v>
      </c>
      <c r="B89" s="35" t="s">
        <v>145</v>
      </c>
      <c r="C89" s="36" t="s">
        <v>22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21"/>
      <c r="J89" s="21"/>
      <c r="K89" s="37"/>
      <c r="L89" s="37"/>
      <c r="M89" s="77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</row>
    <row r="90" spans="1:250" collapsed="1" x14ac:dyDescent="0.25">
      <c r="A90" s="34" t="s">
        <v>146</v>
      </c>
      <c r="B90" s="35" t="s">
        <v>147</v>
      </c>
      <c r="C90" s="36" t="s">
        <v>22</v>
      </c>
      <c r="D90" s="37">
        <v>0</v>
      </c>
      <c r="E90" s="37">
        <v>0</v>
      </c>
      <c r="F90" s="37">
        <v>2469.34</v>
      </c>
      <c r="G90" s="37">
        <f>[3]Резерв!E12</f>
        <v>3548.56</v>
      </c>
      <c r="H90" s="37">
        <v>2021.28</v>
      </c>
      <c r="I90" s="21"/>
      <c r="J90" s="21">
        <f>I90</f>
        <v>0</v>
      </c>
      <c r="K90" s="21">
        <f t="shared" ref="K90:M91" si="33">J90</f>
        <v>0</v>
      </c>
      <c r="L90" s="21">
        <f t="shared" si="33"/>
        <v>0</v>
      </c>
      <c r="M90" s="21">
        <f t="shared" si="33"/>
        <v>0</v>
      </c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</row>
    <row r="91" spans="1:250" x14ac:dyDescent="0.25">
      <c r="A91" s="34" t="s">
        <v>148</v>
      </c>
      <c r="B91" s="35" t="str">
        <f>'[1]неподконтрольные ээ'!B39</f>
        <v>Услуги ФСК ЕЭС (РП-245)</v>
      </c>
      <c r="C91" s="36" t="s">
        <v>22</v>
      </c>
      <c r="D91" s="37"/>
      <c r="E91" s="37"/>
      <c r="F91" s="37"/>
      <c r="G91" s="37"/>
      <c r="H91" s="37"/>
      <c r="I91" s="21">
        <f>'[1]неподконтрольные ээ'!H39/1000</f>
        <v>34164.592630458479</v>
      </c>
      <c r="J91" s="21">
        <f>I91</f>
        <v>34164.592630458479</v>
      </c>
      <c r="K91" s="21">
        <f t="shared" si="33"/>
        <v>34164.592630458479</v>
      </c>
      <c r="L91" s="21">
        <f t="shared" si="33"/>
        <v>34164.592630458479</v>
      </c>
      <c r="M91" s="21">
        <f t="shared" si="33"/>
        <v>34164.592630458479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</row>
    <row r="92" spans="1:250" x14ac:dyDescent="0.25">
      <c r="A92" s="34"/>
      <c r="B92" s="35" t="s">
        <v>149</v>
      </c>
      <c r="C92" s="36" t="s">
        <v>22</v>
      </c>
      <c r="D92" s="37">
        <f>D73+D76+D79+D84+D86+D87+D88+D89+D90</f>
        <v>51878.846480000007</v>
      </c>
      <c r="E92" s="37">
        <f>E73+E76+E79+E84+E86+E87+E88+E89+E90</f>
        <v>51664.380000000005</v>
      </c>
      <c r="F92" s="37">
        <f>F73+F76+F79+F84+F86+F87+F88+F89+F90</f>
        <v>47924.22</v>
      </c>
      <c r="G92" s="37">
        <f>G73+G76+G79+G84+G86+G87+G88+G89+G90</f>
        <v>56371.75</v>
      </c>
      <c r="H92" s="37">
        <f>H73+H76+H79+H84+H86+H87+H88+H89+H90+H91</f>
        <v>84882.376770000003</v>
      </c>
      <c r="I92" s="37">
        <f>I73+I76+I79+I84+I86+I87+I88+I89+I90+I91</f>
        <v>148884.47333126108</v>
      </c>
      <c r="J92" s="37">
        <f t="shared" ref="J92:M92" si="34">J73+J76+J79+J84+J86+J87+J88+J89+J90+J91</f>
        <v>150374.46883526107</v>
      </c>
      <c r="K92" s="37">
        <f t="shared" si="34"/>
        <v>151909.16420438109</v>
      </c>
      <c r="L92" s="37">
        <f t="shared" si="34"/>
        <v>153489.90043457467</v>
      </c>
      <c r="M92" s="37">
        <f t="shared" si="34"/>
        <v>155118.05875167408</v>
      </c>
    </row>
    <row r="93" spans="1:250" x14ac:dyDescent="0.25">
      <c r="A93" s="34"/>
      <c r="B93" s="35" t="s">
        <v>150</v>
      </c>
      <c r="C93" s="36" t="s">
        <v>22</v>
      </c>
      <c r="D93" s="37">
        <f t="shared" ref="D93:M93" si="35">D71+D92</f>
        <v>135388.87648000001</v>
      </c>
      <c r="E93" s="37">
        <f t="shared" si="35"/>
        <v>137566.16999999998</v>
      </c>
      <c r="F93" s="37">
        <f t="shared" si="35"/>
        <v>143371.43</v>
      </c>
      <c r="G93" s="37">
        <f t="shared" si="35"/>
        <v>164322.53</v>
      </c>
      <c r="H93" s="37">
        <f t="shared" si="35"/>
        <v>261562.77677000003</v>
      </c>
      <c r="I93" s="37">
        <f t="shared" si="35"/>
        <v>499541.99297348154</v>
      </c>
      <c r="J93" s="37">
        <f t="shared" si="35"/>
        <v>511551.71406674816</v>
      </c>
      <c r="K93" s="37">
        <f t="shared" si="35"/>
        <v>523921.72679281281</v>
      </c>
      <c r="L93" s="37">
        <f t="shared" si="35"/>
        <v>536662.8399006594</v>
      </c>
      <c r="M93" s="37">
        <f t="shared" si="35"/>
        <v>549786.18640174135</v>
      </c>
    </row>
    <row r="94" spans="1:250" x14ac:dyDescent="0.25">
      <c r="A94" s="85">
        <v>3</v>
      </c>
      <c r="B94" s="43" t="s">
        <v>151</v>
      </c>
      <c r="C94" s="43"/>
      <c r="D94" s="81"/>
      <c r="E94" s="81"/>
      <c r="F94" s="81"/>
      <c r="G94" s="81"/>
      <c r="H94" s="81"/>
      <c r="I94" s="21"/>
      <c r="J94" s="21"/>
      <c r="K94" s="21"/>
      <c r="L94" s="21"/>
      <c r="M94" s="78"/>
    </row>
    <row r="95" spans="1:250" ht="25.5" x14ac:dyDescent="0.25">
      <c r="A95" s="85"/>
      <c r="B95" s="39" t="s">
        <v>152</v>
      </c>
      <c r="C95" s="36" t="s">
        <v>22</v>
      </c>
      <c r="D95" s="82">
        <v>0</v>
      </c>
      <c r="E95" s="82">
        <v>5109.2299999999996</v>
      </c>
      <c r="F95" s="82">
        <v>0</v>
      </c>
      <c r="G95" s="82">
        <v>0</v>
      </c>
      <c r="H95" s="82">
        <v>26150.25</v>
      </c>
      <c r="I95" s="21">
        <f>70145.77-H96</f>
        <v>3496.6699999999983</v>
      </c>
      <c r="J95" s="21"/>
      <c r="K95" s="21"/>
      <c r="L95" s="21"/>
      <c r="M95" s="78"/>
    </row>
    <row r="96" spans="1:250" ht="63.75" x14ac:dyDescent="0.25">
      <c r="A96" s="85"/>
      <c r="B96" s="39" t="s">
        <v>153</v>
      </c>
      <c r="C96" s="36" t="s">
        <v>22</v>
      </c>
      <c r="D96" s="82">
        <v>13187.96</v>
      </c>
      <c r="E96" s="82">
        <v>-12879.81</v>
      </c>
      <c r="F96" s="82">
        <v>17810.009999999998</v>
      </c>
      <c r="G96" s="82">
        <f>[3]Корр!F43</f>
        <v>-12627.27</v>
      </c>
      <c r="H96" s="82">
        <v>66649.100000000006</v>
      </c>
      <c r="I96" s="21">
        <f>'[4]корректировка (МС)'!$F$32</f>
        <v>30046.358875979477</v>
      </c>
      <c r="J96" s="21"/>
      <c r="K96" s="21"/>
      <c r="L96" s="21"/>
      <c r="M96" s="78"/>
    </row>
    <row r="97" spans="1:250" x14ac:dyDescent="0.25">
      <c r="A97" s="85"/>
      <c r="B97" s="39" t="s">
        <v>154</v>
      </c>
      <c r="C97" s="36" t="s">
        <v>22</v>
      </c>
      <c r="D97" s="82">
        <v>1508.41</v>
      </c>
      <c r="E97" s="82">
        <v>1610.92</v>
      </c>
      <c r="F97" s="82">
        <v>2013.59</v>
      </c>
      <c r="G97" s="82">
        <f>[3]Корр!F12</f>
        <v>1839.69</v>
      </c>
      <c r="H97" s="82">
        <v>2365.13</v>
      </c>
      <c r="I97" s="21">
        <f>'[4]корректировка (МС)'!$F$10</f>
        <v>2135.1462000000001</v>
      </c>
      <c r="J97" s="21"/>
      <c r="K97" s="21"/>
      <c r="L97" s="21"/>
      <c r="M97" s="78"/>
    </row>
    <row r="98" spans="1:250" x14ac:dyDescent="0.25">
      <c r="A98" s="48"/>
      <c r="B98" s="35" t="s">
        <v>155</v>
      </c>
      <c r="C98" s="44" t="s">
        <v>22</v>
      </c>
      <c r="D98" s="49">
        <f>D93+D95+D96+D97</f>
        <v>150085.24648</v>
      </c>
      <c r="E98" s="49">
        <f>E93+E95+E96+E97</f>
        <v>131406.51</v>
      </c>
      <c r="F98" s="49">
        <f>F93+F95+F96+F97</f>
        <v>163195.03</v>
      </c>
      <c r="G98" s="49">
        <f>G93+G95+G96+G97</f>
        <v>153534.95000000001</v>
      </c>
      <c r="H98" s="49">
        <f>H93+H95+H96+H97</f>
        <v>356727.25676999998</v>
      </c>
      <c r="I98" s="49">
        <f t="shared" ref="I98:M98" si="36">I93+I95+I96+I97</f>
        <v>535220.16804946098</v>
      </c>
      <c r="J98" s="49">
        <f t="shared" si="36"/>
        <v>511551.71406674816</v>
      </c>
      <c r="K98" s="49">
        <f t="shared" si="36"/>
        <v>523921.72679281281</v>
      </c>
      <c r="L98" s="49">
        <f t="shared" si="36"/>
        <v>536662.8399006594</v>
      </c>
      <c r="M98" s="49">
        <f t="shared" si="36"/>
        <v>549786.18640174135</v>
      </c>
    </row>
    <row r="99" spans="1:250" x14ac:dyDescent="0.25">
      <c r="A99" s="85">
        <v>4</v>
      </c>
      <c r="B99" s="39" t="s">
        <v>156</v>
      </c>
      <c r="C99" s="36" t="s">
        <v>157</v>
      </c>
      <c r="D99" s="83">
        <v>387.26400000000001</v>
      </c>
      <c r="E99" s="83">
        <v>358.11599999999999</v>
      </c>
      <c r="F99" s="83">
        <v>394.37900000000002</v>
      </c>
      <c r="G99" s="83">
        <v>399.09300000000002</v>
      </c>
      <c r="H99" s="83">
        <v>472.78399999999999</v>
      </c>
      <c r="I99" s="21">
        <f>'[1]2020-2024'!$I$99</f>
        <v>564.070605</v>
      </c>
      <c r="J99" s="21">
        <f>I99</f>
        <v>564.070605</v>
      </c>
      <c r="K99" s="21">
        <f t="shared" ref="K99:M101" si="37">J99</f>
        <v>564.070605</v>
      </c>
      <c r="L99" s="21">
        <f t="shared" si="37"/>
        <v>564.070605</v>
      </c>
      <c r="M99" s="21">
        <f t="shared" si="37"/>
        <v>564.070605</v>
      </c>
    </row>
    <row r="100" spans="1:250" x14ac:dyDescent="0.25">
      <c r="A100" s="85"/>
      <c r="B100" s="39" t="s">
        <v>158</v>
      </c>
      <c r="C100" s="53" t="s">
        <v>159</v>
      </c>
      <c r="D100" s="83">
        <v>55.106000000000002</v>
      </c>
      <c r="E100" s="83">
        <v>51.779000000000003</v>
      </c>
      <c r="F100" s="83">
        <v>57.939</v>
      </c>
      <c r="G100" s="83">
        <v>55.792000000000002</v>
      </c>
      <c r="H100" s="83">
        <v>68.643000000000001</v>
      </c>
      <c r="I100" s="21">
        <f>'[1]1.5'!J20</f>
        <v>82.884</v>
      </c>
      <c r="J100" s="21">
        <f>I100</f>
        <v>82.884</v>
      </c>
      <c r="K100" s="21">
        <f t="shared" si="37"/>
        <v>82.884</v>
      </c>
      <c r="L100" s="21">
        <f t="shared" si="37"/>
        <v>82.884</v>
      </c>
      <c r="M100" s="21">
        <f t="shared" si="37"/>
        <v>82.884</v>
      </c>
    </row>
    <row r="101" spans="1:250" x14ac:dyDescent="0.25">
      <c r="A101" s="85">
        <v>5</v>
      </c>
      <c r="B101" s="54" t="s">
        <v>160</v>
      </c>
      <c r="C101" s="36" t="s">
        <v>157</v>
      </c>
      <c r="D101" s="83">
        <v>5.8979999999999997</v>
      </c>
      <c r="E101" s="83">
        <v>5.4539999999999997</v>
      </c>
      <c r="F101" s="83">
        <v>6.0060000000000002</v>
      </c>
      <c r="G101" s="83">
        <v>6.0780000000000003</v>
      </c>
      <c r="H101" s="83">
        <v>7.1989999999999998</v>
      </c>
      <c r="I101" s="21">
        <f ca="1">'[1]расчет потерь ээ'!C31/1000</f>
        <v>38.24906806094647</v>
      </c>
      <c r="J101" s="21">
        <f ca="1">I101</f>
        <v>38.24906806094647</v>
      </c>
      <c r="K101" s="21">
        <f t="shared" ca="1" si="37"/>
        <v>38.24906806094647</v>
      </c>
      <c r="L101" s="21">
        <f t="shared" ca="1" si="37"/>
        <v>38.24906806094647</v>
      </c>
      <c r="M101" s="21">
        <f t="shared" ca="1" si="37"/>
        <v>38.24906806094647</v>
      </c>
    </row>
    <row r="102" spans="1:250" x14ac:dyDescent="0.25">
      <c r="A102" s="85"/>
      <c r="B102" s="35" t="s">
        <v>161</v>
      </c>
      <c r="C102" s="36" t="s">
        <v>162</v>
      </c>
      <c r="D102" s="49">
        <v>2426.98207</v>
      </c>
      <c r="E102" s="49">
        <v>2543.13</v>
      </c>
      <c r="F102" s="49">
        <v>2688.939393939394</v>
      </c>
      <c r="G102" s="37">
        <v>3040.41</v>
      </c>
      <c r="H102" s="49">
        <v>3086.8</v>
      </c>
      <c r="I102" s="21">
        <f>H102*1.042</f>
        <v>3216.4456000000005</v>
      </c>
      <c r="J102" s="21">
        <f>I102*1.042</f>
        <v>3351.5363152000004</v>
      </c>
      <c r="K102" s="21">
        <f t="shared" ref="K102:M102" si="38">J102*1.042</f>
        <v>3492.3008404384004</v>
      </c>
      <c r="L102" s="21">
        <f t="shared" si="38"/>
        <v>3638.9774757368132</v>
      </c>
      <c r="M102" s="21">
        <f t="shared" si="38"/>
        <v>3791.8145297177593</v>
      </c>
    </row>
    <row r="103" spans="1:250" x14ac:dyDescent="0.25">
      <c r="A103" s="85"/>
      <c r="B103" s="35" t="s">
        <v>163</v>
      </c>
      <c r="C103" s="36" t="s">
        <v>22</v>
      </c>
      <c r="D103" s="49">
        <f>D101*D102</f>
        <v>14314.340248859999</v>
      </c>
      <c r="E103" s="49">
        <v>13870.21</v>
      </c>
      <c r="F103" s="49">
        <v>16149.77</v>
      </c>
      <c r="G103" s="49">
        <f>ROUND(G101*G102,2)</f>
        <v>18479.61</v>
      </c>
      <c r="H103" s="49">
        <f>H101*H102</f>
        <v>22221.873200000002</v>
      </c>
      <c r="I103" s="49">
        <f ca="1">I101*I102</f>
        <v>123026.04666873183</v>
      </c>
      <c r="J103" s="49">
        <f t="shared" ref="J103:M103" ca="1" si="39">J101*J102</f>
        <v>128193.14062881855</v>
      </c>
      <c r="K103" s="49">
        <f t="shared" ca="1" si="39"/>
        <v>133577.25253522894</v>
      </c>
      <c r="L103" s="49">
        <f t="shared" ca="1" si="39"/>
        <v>139187.49714170856</v>
      </c>
      <c r="M103" s="49">
        <f t="shared" ca="1" si="39"/>
        <v>145033.3720216603</v>
      </c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</row>
    <row r="104" spans="1:250" x14ac:dyDescent="0.25">
      <c r="A104" s="53"/>
      <c r="B104" s="55" t="s">
        <v>164</v>
      </c>
      <c r="C104" s="36" t="s">
        <v>22</v>
      </c>
      <c r="D104" s="49">
        <f>D98+D103</f>
        <v>164399.58672886001</v>
      </c>
      <c r="E104" s="49">
        <f>E98+E103</f>
        <v>145276.72</v>
      </c>
      <c r="F104" s="49">
        <f>F98+F103</f>
        <v>179344.8</v>
      </c>
      <c r="G104" s="49">
        <f>G98+G103</f>
        <v>172014.56</v>
      </c>
      <c r="H104" s="49">
        <f>H98+H103</f>
        <v>378949.12997000001</v>
      </c>
      <c r="I104" s="49">
        <f t="shared" ref="I104:M104" ca="1" si="40">I98+I103</f>
        <v>658246.21471819282</v>
      </c>
      <c r="J104" s="49">
        <f t="shared" ca="1" si="40"/>
        <v>639744.8546955667</v>
      </c>
      <c r="K104" s="49">
        <f t="shared" ca="1" si="40"/>
        <v>657498.97932804178</v>
      </c>
      <c r="L104" s="49">
        <f t="shared" ca="1" si="40"/>
        <v>675850.33704236802</v>
      </c>
      <c r="M104" s="49">
        <f t="shared" ca="1" si="40"/>
        <v>694819.55842340167</v>
      </c>
    </row>
    <row r="107" spans="1:250" ht="15.75" x14ac:dyDescent="0.25">
      <c r="G107" s="84"/>
    </row>
  </sheetData>
  <mergeCells count="12">
    <mergeCell ref="A101:A103"/>
    <mergeCell ref="A6:C6"/>
    <mergeCell ref="A20:C20"/>
    <mergeCell ref="A4:M4"/>
    <mergeCell ref="A8:M8"/>
    <mergeCell ref="A13:M13"/>
    <mergeCell ref="A19:M19"/>
    <mergeCell ref="A28:A30"/>
    <mergeCell ref="A31:A33"/>
    <mergeCell ref="A34:A36"/>
    <mergeCell ref="A94:A97"/>
    <mergeCell ref="A99:A100"/>
  </mergeCells>
  <pageMargins left="0.39370078740157483" right="0.39370078740157483" top="0.39370078740157483" bottom="0.39370078740157483" header="0.31496062992125984" footer="0.31496062992125984"/>
  <pageSetup paperSize="9" scale="63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Колышницына Наталья Владимировна</dc:creator>
  <cp:lastModifiedBy>Колышницына Наталья Владимировна</cp:lastModifiedBy>
  <cp:lastPrinted>2024-04-17T08:35:50Z</cp:lastPrinted>
  <dcterms:created xsi:type="dcterms:W3CDTF">2024-04-17T08:34:16Z</dcterms:created>
  <dcterms:modified xsi:type="dcterms:W3CDTF">2024-05-06T11:04:11Z</dcterms:modified>
</cp:coreProperties>
</file>