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32760" windowWidth="10875" windowHeight="10950" tabRatio="956" firstSheet="3" activeTab="11"/>
  </bookViews>
  <sheets>
    <sheet name="4" sheetId="1" r:id="rId1"/>
    <sheet name="5" sheetId="2" r:id="rId2"/>
    <sheet name="6" sheetId="3" r:id="rId3"/>
    <sheet name="15(ээ)" sheetId="4" r:id="rId4"/>
    <sheet name="18.2" sheetId="5" r:id="rId5"/>
    <sheet name="20" sheetId="6" r:id="rId6"/>
    <sheet name="20.3" sheetId="7" r:id="rId7"/>
    <sheet name="21.3" sheetId="8" r:id="rId8"/>
    <sheet name="24" sheetId="9" r:id="rId9"/>
    <sheet name="25" sheetId="10" r:id="rId10"/>
    <sheet name="27" sheetId="11" r:id="rId11"/>
    <sheet name="2020-2024" sheetId="12" r:id="rId12"/>
    <sheet name="КЛЭП и ВЛЭП" sheetId="13" r:id="rId13"/>
    <sheet name="ВН, СН, НН" sheetId="14" r:id="rId14"/>
    <sheet name="табл П 1.17" sheetId="15" r:id="rId15"/>
    <sheet name="табл П 1.17.1" sheetId="16" r:id="rId16"/>
    <sheet name="аморт 25" sheetId="17" r:id="rId17"/>
    <sheet name="зем нал 25" sheetId="18" r:id="rId18"/>
    <sheet name="тр н-г 25" sheetId="19" r:id="rId19"/>
    <sheet name="ОСАГО 25" sheetId="20" r:id="rId20"/>
    <sheet name="неподконтрольные ээ" sheetId="21" r:id="rId21"/>
    <sheet name="аморт 26" sheetId="22" r:id="rId22"/>
    <sheet name="тр н-г 26" sheetId="23" r:id="rId23"/>
    <sheet name="ОСАГО 26" sheetId="24" r:id="rId24"/>
    <sheet name="зем н-г 26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Z_3EC1D96D_21B8_491E_ADA7_4F9B5C40EB0E_.wvu.PrintArea" localSheetId="17" hidden="1">'зем нал 25'!$A$1:$D$25</definedName>
    <definedName name="Z_3EC1D96D_21B8_491E_ADA7_4F9B5C40EB0E_.wvu.PrintArea" localSheetId="24" hidden="1">'зем н-г 26'!$A$1:$E$12</definedName>
    <definedName name="Z_3EC1D96D_21B8_491E_ADA7_4F9B5C40EB0E_.wvu.PrintArea" localSheetId="19" hidden="1">'ОСАГО 25'!$A$1:$I$19</definedName>
    <definedName name="Z_3EC1D96D_21B8_491E_ADA7_4F9B5C40EB0E_.wvu.PrintArea" localSheetId="23" hidden="1">'ОСАГО 26'!$A$1:$K$14</definedName>
    <definedName name="Z_3EC1D96D_21B8_491E_ADA7_4F9B5C40EB0E_.wvu.PrintArea" localSheetId="18" hidden="1">'тр н-г 25'!$A$1:$F$15</definedName>
    <definedName name="Z_3EC1D96D_21B8_491E_ADA7_4F9B5C40EB0E_.wvu.PrintArea" localSheetId="22" hidden="1">'тр н-г 26'!$A$1:$F$13</definedName>
    <definedName name="Z_AEB4BF08_7419_4067_B164_9AE2B540B119_.wvu.PrintArea" localSheetId="17" hidden="1">'зем нал 25'!$A$1:$D$25</definedName>
    <definedName name="Z_AEB4BF08_7419_4067_B164_9AE2B540B119_.wvu.PrintArea" localSheetId="24" hidden="1">'зем н-г 26'!$A$1:$E$12</definedName>
    <definedName name="Z_AEB4BF08_7419_4067_B164_9AE2B540B119_.wvu.PrintArea" localSheetId="19" hidden="1">'ОСАГО 25'!$A$1:$I$19</definedName>
    <definedName name="Z_AEB4BF08_7419_4067_B164_9AE2B540B119_.wvu.PrintArea" localSheetId="23" hidden="1">'ОСАГО 26'!$A$1:$K$14</definedName>
    <definedName name="Z_AEB4BF08_7419_4067_B164_9AE2B540B119_.wvu.PrintArea" localSheetId="18" hidden="1">'тр н-г 25'!$A$1:$F$15</definedName>
    <definedName name="Z_AEB4BF08_7419_4067_B164_9AE2B540B119_.wvu.PrintArea" localSheetId="22" hidden="1">'тр н-г 26'!$A$1:$F$13</definedName>
    <definedName name="_xlnm.Print_Titles" localSheetId="21">'аморт 26'!$4:$4</definedName>
    <definedName name="_xlnm.Print_Titles" localSheetId="13">'ВН, СН, НН'!$7:$7</definedName>
    <definedName name="_xlnm.Print_Titles" localSheetId="24">'зем н-г 26'!$6:$6</definedName>
    <definedName name="_xlnm.Print_Titles" localSheetId="12">'КЛЭП и ВЛЭП'!$4:$4</definedName>
    <definedName name="_xlnm.Print_Area" localSheetId="16">'аморт 25'!$A$1:$I$18</definedName>
    <definedName name="_xlnm.Print_Area" localSheetId="13">'ВН, СН, НН'!$A$1:$I$525</definedName>
    <definedName name="_xlnm.Print_Area" localSheetId="17">'зем нал 25'!$A$1:$D$23</definedName>
    <definedName name="_xlnm.Print_Area" localSheetId="24">'зем н-г 26'!$A$1:$E$11</definedName>
    <definedName name="_xlnm.Print_Area" localSheetId="20">'неподконтрольные ээ'!$A$1:$H$27</definedName>
    <definedName name="_xlnm.Print_Area" localSheetId="19">'ОСАГО 25'!$A$1:$I$19</definedName>
    <definedName name="_xlnm.Print_Area" localSheetId="23">'ОСАГО 26'!$A$1:$L$14</definedName>
    <definedName name="_xlnm.Print_Area" localSheetId="14">'табл П 1.17'!$A$1:$E$15</definedName>
    <definedName name="_xlnm.Print_Area" localSheetId="18">'тр н-г 25'!$A$1:$F$13</definedName>
    <definedName name="_xlnm.Print_Area" localSheetId="22">'тр н-г 26'!$A$1:$F$13</definedName>
  </definedNames>
  <calcPr fullCalcOnLoad="1"/>
</workbook>
</file>

<file path=xl/comments18.xml><?xml version="1.0" encoding="utf-8"?>
<comments xmlns="http://schemas.openxmlformats.org/spreadsheetml/2006/main">
  <authors>
    <author>KOLISHNITZINA</author>
  </authors>
  <commentList>
    <comment ref="A4" authorId="0">
      <text>
        <r>
          <rPr>
            <b/>
            <sz val="8"/>
            <rFont val="Tahoma"/>
            <family val="2"/>
          </rPr>
          <t>KOLISHNITZINA:</t>
        </r>
        <r>
          <rPr>
            <sz val="8"/>
            <rFont val="Tahoma"/>
            <family val="2"/>
          </rPr>
          <t xml:space="preserve">
снять ксерокопии свидетельств на право собственности</t>
        </r>
      </text>
    </comment>
  </commentList>
</comments>
</file>

<file path=xl/comments21.xml><?xml version="1.0" encoding="utf-8"?>
<comments xmlns="http://schemas.openxmlformats.org/spreadsheetml/2006/main">
  <authors>
    <author>Колышницына Наталья Владимировна</author>
  </authors>
  <commentList>
    <comment ref="F31" authorId="0">
      <text>
        <r>
          <rPr>
            <b/>
            <sz val="8"/>
            <rFont val="Tahoma"/>
            <family val="2"/>
          </rPr>
          <t>Колышницына Наталья Владимировна:</t>
        </r>
        <r>
          <rPr>
            <sz val="8"/>
            <rFont val="Tahoma"/>
            <family val="2"/>
          </rPr>
          <t xml:space="preserve">
по факту 1 квартала 2017 г</t>
        </r>
      </text>
    </comment>
  </commentList>
</comments>
</file>

<file path=xl/sharedStrings.xml><?xml version="1.0" encoding="utf-8"?>
<sst xmlns="http://schemas.openxmlformats.org/spreadsheetml/2006/main" count="1915" uniqueCount="1323">
  <si>
    <t>Коэффициент кол-во лиц, допущеных к управлению ТС</t>
  </si>
  <si>
    <t>Peugeot-Partner</t>
  </si>
  <si>
    <t>Сумма в год,  руб.</t>
  </si>
  <si>
    <t>Земельный налог</t>
  </si>
  <si>
    <t>Земельный участок по ул. Мира, 5б, площадь 5 988 м.кв.</t>
  </si>
  <si>
    <t xml:space="preserve">Зарядно-выпрямительное устройство HPT 40.110XE, 5336 </t>
  </si>
  <si>
    <t>Трансформатор тока ТЛШ-10-5-0.5S\10P-1500/5УЗ, 5339</t>
  </si>
  <si>
    <t>Трансформатор тока ТЛШ-10-5-0.5S\10P-1500/5УЗ, 5340</t>
  </si>
  <si>
    <t>Трансформатор тока ТЛШ-10-5-0.5S\10P-1500/5УЗ, 5341</t>
  </si>
  <si>
    <t>Трансформатор тока ТЛШ-10-5-0.5S\10P-1500/5УЗ, 5342</t>
  </si>
  <si>
    <t>Трансформатор тока ТЛШ-10-5-0.5S\10P-1500/5УЗ, 5343</t>
  </si>
  <si>
    <t xml:space="preserve">Комплектная трансформаторная подстанция 2КТПН-630/6/0.4, 5437 </t>
  </si>
  <si>
    <t>КСО-292-2ВВ-1600 Кабельная сборка, 5387</t>
  </si>
  <si>
    <t>КСО-292-4ВВ-1600 ввод, 5388</t>
  </si>
  <si>
    <t>КСО-292-8ВВ-630 линия, 5389</t>
  </si>
  <si>
    <t>КСО-292-8ВВ-630 линия, 5390</t>
  </si>
  <si>
    <t>КСО-292-8ВВ-630 линия, 5391</t>
  </si>
  <si>
    <t>КСО-292-8ВВ-630 линия, 5392</t>
  </si>
  <si>
    <t>КСО-292-8ВВ-630 линия, 5393</t>
  </si>
  <si>
    <t>КСО-292-8ВВ-630 линия, 5394</t>
  </si>
  <si>
    <t>КСО-292-28А панель, 5395</t>
  </si>
  <si>
    <t>КСО-292-15-630 ТН, 5396</t>
  </si>
  <si>
    <t>КСО-292-15-630 ТН, 5397</t>
  </si>
  <si>
    <t>Шинный мост 6 кВт, инв.№5398</t>
  </si>
  <si>
    <t>Трансформатор тока ТЛШ-10-5-0.5S\10Р-1500/5УЗ, 5337</t>
  </si>
  <si>
    <t>Всего</t>
  </si>
  <si>
    <t>1.</t>
  </si>
  <si>
    <t>2.</t>
  </si>
  <si>
    <t>3.</t>
  </si>
  <si>
    <t>А 750 АА</t>
  </si>
  <si>
    <t>Ставка налога, руб./год/л.с.</t>
  </si>
  <si>
    <t>Наименование статьи расхода</t>
  </si>
  <si>
    <t>Определение величины расходов</t>
  </si>
  <si>
    <t>К 989 АТ</t>
  </si>
  <si>
    <t>N п/п</t>
  </si>
  <si>
    <t>Наименование расходов</t>
  </si>
  <si>
    <t>Отчисления на социальное страхование</t>
  </si>
  <si>
    <t>Наименование
основного средства</t>
  </si>
  <si>
    <t>№ п/п</t>
  </si>
  <si>
    <t>НН</t>
  </si>
  <si>
    <t>Итого по НН</t>
  </si>
  <si>
    <t>СН</t>
  </si>
  <si>
    <t>Здание ЗРУ-6 кВ ОБВ-1, инв.№1</t>
  </si>
  <si>
    <t>Откатные ворота, 5352</t>
  </si>
  <si>
    <t>Амортизация в 2015 г.</t>
  </si>
  <si>
    <t>Остаточная стоимость на 01.01.2016 г.</t>
  </si>
  <si>
    <t>Здание ЗРУ-6 кВ п/ст Падь, инв.№80</t>
  </si>
  <si>
    <t>Коэффициент преимущественного использования транспортного средства</t>
  </si>
  <si>
    <t>Коэффициент наличия или отсутствия страховых выплат</t>
  </si>
  <si>
    <t>Коэффициент мощности двигателя легкового автомобиля</t>
  </si>
  <si>
    <t>Коэффициент сезонного использования</t>
  </si>
  <si>
    <t>Коэффициент краткосрочного страхования</t>
  </si>
  <si>
    <t>Ячейка КРУ2-10-20 УЗ (Линия), 000005480</t>
  </si>
  <si>
    <t>Здание ОПУ ОСК (Лит. А), инв.№182</t>
  </si>
  <si>
    <t>Ставка налога, руб./л.с./год</t>
  </si>
  <si>
    <t>ГАЗ-2705</t>
  </si>
  <si>
    <t>КРУ К-013 ячейка</t>
  </si>
  <si>
    <t>Здание ЗРУ-6 кВ ГПП ВОС НОСВ ОСК, инв.№164</t>
  </si>
  <si>
    <t>Приложение ______________________</t>
  </si>
  <si>
    <t>Начальник ПЭО</t>
  </si>
  <si>
    <t>М.С. Мироненко</t>
  </si>
  <si>
    <t>Ограничитель перенапряжения ОПН 110/78-10(2) УХЛ 1, 000005253</t>
  </si>
  <si>
    <t>Ограничитель перенапряжения ОПН 110/78-10(2) УХЛ 1, 000005254</t>
  </si>
  <si>
    <t>Ограничитель перенапряжения ОПН 110/78-10(2) УХЛ 1, 000005255</t>
  </si>
  <si>
    <t>Ограничитель перенапряжения ОПН 110/78-10(2) УХЛ 1, 000005256</t>
  </si>
  <si>
    <t>Ограничитель перенапряжения ОПН 110/78-10(2) УХЛ 1, 000005258</t>
  </si>
  <si>
    <t>Здание ЗРУ-6кВ ТП-3327, инв.№245</t>
  </si>
  <si>
    <t>Здание ЗРУ-6кВ ТП-3111, инв.№246</t>
  </si>
  <si>
    <t>Здание ЗРУ-10/6кВ ТП-1201, инв.№247</t>
  </si>
  <si>
    <t>Здание ЗРУ-10кВ ТП-8100, инв.№248</t>
  </si>
  <si>
    <t>Здание ЗРУ-10кВ РП-111, инв.№249</t>
  </si>
  <si>
    <t>Здание ЗРУ-10кВ ТП-2140, инв.№250</t>
  </si>
  <si>
    <t>Здание ЗРУ-10/0,4кВ ТП-5896, инв.№251</t>
  </si>
  <si>
    <t>Здание ЗРУ-10кВ ТП-5726, инв.№252</t>
  </si>
  <si>
    <t>Здание ЗРУ-6-10кВ ГПП-8 Кислородная, инв.№1078</t>
  </si>
  <si>
    <t>Главная понижающая подстанция (ОПУ) ГПП Кислородная, инв.№1079</t>
  </si>
  <si>
    <t>Амортизация в 2016 г.</t>
  </si>
  <si>
    <t>Остаточная стоимость на 01.01.2017 г.</t>
  </si>
  <si>
    <t>Ячейка КСО 202-0,8,1-630У3</t>
  </si>
  <si>
    <t>Ограничитель перенапряжения ОПН 110/78-10(2) УХЛ 1</t>
  </si>
  <si>
    <t>Шкаф ШТМ, 5445</t>
  </si>
  <si>
    <t>Шкаф АРМ, 5446</t>
  </si>
  <si>
    <t>Сервер ТМ, 5447</t>
  </si>
  <si>
    <t>Шкаф РАС, 5448</t>
  </si>
  <si>
    <t>Шкаф РАС ОПУ, 5449</t>
  </si>
  <si>
    <t>Ячейка КСО 298-8ВВ-630 УЗ</t>
  </si>
  <si>
    <t>Выключатель вакуумный ВБЭМ-10-20/1000</t>
  </si>
  <si>
    <t>Выключатель вакуумный ВБЭМ-10-20/1001</t>
  </si>
  <si>
    <t>Выключатель вакуумный ВБЭМ-10-20/1002</t>
  </si>
  <si>
    <t>Выключатель вакуумный ВБЭМ-10-20/1003</t>
  </si>
  <si>
    <t>Главная понизительная  подстанция ЗРУ 6 кВ ГПП Комсомольская 110/35/6кВ РУ водозаборных сооружений, инв.№1240</t>
  </si>
  <si>
    <t>Ограждение территории (металл.) ОБВ-1, инв.№37</t>
  </si>
  <si>
    <t>Ограждение территории (металл.) ОБВ-2, инв.№75</t>
  </si>
  <si>
    <t>Ограждение территории п/ст "Падь", инв.№110</t>
  </si>
  <si>
    <t>Ограждение метал. ГНС, инв.№147</t>
  </si>
  <si>
    <t>Ограждение территории ОРУ 110 кВ ВОС, инв.№243</t>
  </si>
  <si>
    <t>Трансформатор ТДТН-10000/110-76Ц1, инв.№2768</t>
  </si>
  <si>
    <t>ВН</t>
  </si>
  <si>
    <t>Приложение ___________________</t>
  </si>
  <si>
    <t>Наименование</t>
  </si>
  <si>
    <t>Расчет</t>
  </si>
  <si>
    <t>Остаточная стоимость на 01.01.2013 г.</t>
  </si>
  <si>
    <t>Амортизация в январе 2013 г.</t>
  </si>
  <si>
    <t>Остаточная стоимость на 01.01.2014</t>
  </si>
  <si>
    <t>Амортизация в 2014 г.</t>
  </si>
  <si>
    <t>Остаточная стоимость на 01.01.2015 г.</t>
  </si>
  <si>
    <t>Здания</t>
  </si>
  <si>
    <t>Здание на Мира,5-Б (Литеры А, А1), 1304</t>
  </si>
  <si>
    <t>Сооружения</t>
  </si>
  <si>
    <t>Хозяйственный блок №10 из 5 секторов, 2971</t>
  </si>
  <si>
    <t>Хозяйственный блок с металлическ. дверями (10 сек), 2972</t>
  </si>
  <si>
    <t>Линия связи к зданию по Пр.Мира,5-Б, 2435</t>
  </si>
  <si>
    <t>Внутренние сети связи, 000005205</t>
  </si>
  <si>
    <t>Машины и оборудование (кроме офисного)</t>
  </si>
  <si>
    <t>Офисное оборудование</t>
  </si>
  <si>
    <t>Транспортные средства</t>
  </si>
  <si>
    <t>Тойота Camry</t>
  </si>
  <si>
    <t>Тойота Land Crusier</t>
  </si>
  <si>
    <t>C 102 ЕВ</t>
  </si>
  <si>
    <t>Коэффициент территории преимущественного использования транспортного средства</t>
  </si>
  <si>
    <t>Трансформатор НАМИТ-10-2 УХЛ2, 10кВ РП-700, инв №</t>
  </si>
  <si>
    <t>Трансформатор ТМ 400кВА 10/04 ТП-5726 инв №</t>
  </si>
  <si>
    <t>Земельный участок по ул. Рокоссовского (св-во о праве собственности)</t>
  </si>
  <si>
    <t>Земельный участок по ул. Коммунальная (св-во о праве собственности)</t>
  </si>
  <si>
    <t>Итого СН</t>
  </si>
  <si>
    <t>Итого по ВН</t>
  </si>
  <si>
    <t>КЛЭП</t>
  </si>
  <si>
    <t>Итого по КЛЭП</t>
  </si>
  <si>
    <t>ВЛЭП</t>
  </si>
  <si>
    <t>Итого по ВЛЭП</t>
  </si>
  <si>
    <t>Балансовая стоимость</t>
  </si>
  <si>
    <t>Итого</t>
  </si>
  <si>
    <t>Наименование объекта</t>
  </si>
  <si>
    <t>Кадастровая стоимость, руб.</t>
  </si>
  <si>
    <t>Ставка налога, %/год</t>
  </si>
  <si>
    <t>Сумма налога, руб.</t>
  </si>
  <si>
    <t>Земельный участок, расположенный по адресу: ул. Куломзинская, 70 (св-во о праве собственности)</t>
  </si>
  <si>
    <t>гос №</t>
  </si>
  <si>
    <t>ГАЗ-3307</t>
  </si>
  <si>
    <t>ГАЗ-2752</t>
  </si>
  <si>
    <t>К 991 АТ</t>
  </si>
  <si>
    <t>ГАЗ-33023</t>
  </si>
  <si>
    <t>К 302 ОК</t>
  </si>
  <si>
    <t>рублей</t>
  </si>
  <si>
    <t>Налог на имущество</t>
  </si>
  <si>
    <t>N/п</t>
  </si>
  <si>
    <t>Наименование автомобиля</t>
  </si>
  <si>
    <t>Гос.номер</t>
  </si>
  <si>
    <t>Мощность двигателя, л.с.</t>
  </si>
  <si>
    <t>Сумма налога, руб./год</t>
  </si>
  <si>
    <t>Марка</t>
  </si>
  <si>
    <t>Тип</t>
  </si>
  <si>
    <t>Базовая ставка, руб.</t>
  </si>
  <si>
    <t>Сумма страх. премии, руб.</t>
  </si>
  <si>
    <t>легковой</t>
  </si>
  <si>
    <t>ИТОГО за год</t>
  </si>
  <si>
    <t>4</t>
  </si>
  <si>
    <t>5</t>
  </si>
  <si>
    <t>6</t>
  </si>
  <si>
    <t>Обоснование потребности</t>
  </si>
  <si>
    <t>КРУ К-2-106 кВ ГПП Комсомольская, инв.№1181</t>
  </si>
  <si>
    <t>Комплект ОПН 110/78-10(2) УХЛ 1</t>
  </si>
  <si>
    <t>Комплект ОПН 110/78-10(2) УХЛ 2</t>
  </si>
  <si>
    <t>Выключатель вакуумный ВБЭМ-10-20/1004</t>
  </si>
  <si>
    <t>Выключатель вакуумный ВБЭМ-10-20/1005</t>
  </si>
  <si>
    <t>Выключатель вакуумный ВБЭМ-10-20/1006</t>
  </si>
  <si>
    <t>Выключатель вакуумный ВБЭМ-10-20/1007</t>
  </si>
  <si>
    <t>Зем-ный уч. ул.19-я Марьяновская, д.42 ПС "ОБВ-1" (св-во о праве собственности)</t>
  </si>
  <si>
    <t>Зем-ный уч. ул.19-я Марьяновская, д.42 ПС "ОБВ-2" (св-во о праве собственности)</t>
  </si>
  <si>
    <t>Зем-ный уч. п/с Падь (св-во о праве собственности)</t>
  </si>
  <si>
    <t>Зем-ный уч. ул. 22 Партсъезда, 97 (св-во о праве собственности)</t>
  </si>
  <si>
    <t>Земельный участок, расположенный по адресу: ул. Комбинатская, 50 (св-во о праве собственности)</t>
  </si>
  <si>
    <t>КСО-292-22В-1600 Кабельная сборка, инв.№ 5284</t>
  </si>
  <si>
    <t>КСО-292-4ВВ-1600 ввод, инв.№ 5285</t>
  </si>
  <si>
    <t>КСО-292-8ВВ-630 линия, инв.№ 5286</t>
  </si>
  <si>
    <t>КСО-292-8ВВ-630 линия, инв.№ 5287</t>
  </si>
  <si>
    <t>КСО-292-8ВВ-630 линия, инв.№ 5288</t>
  </si>
  <si>
    <t>КСО-292-8ВВ-630 линия, инв.№ 5289</t>
  </si>
  <si>
    <t>КСО-292-8ВВ-630 линия, инв.№ 5290</t>
  </si>
  <si>
    <t>КСО-292-8ВВ-630 линия, инв.№ 5291</t>
  </si>
  <si>
    <t>КСО-292-5ВВ-1600 св, инв.№ 5292</t>
  </si>
  <si>
    <t>КСО-292-24-1600 ср, инв.№ 5293</t>
  </si>
  <si>
    <t>КСО-292-15-630 ТСН, инв.№ 5294</t>
  </si>
  <si>
    <t>КСО-292-15-630 ТСН, инв.№ 5295</t>
  </si>
  <si>
    <t>Шинный мост 6 кВт, инв.№5296</t>
  </si>
  <si>
    <t>Щит распределительный ЩРН-24, инв.№ 5297</t>
  </si>
  <si>
    <t>Трансформатор напряжения измерительный НКФ-110-II-У-1, инв.№ 5310</t>
  </si>
  <si>
    <t>Трансформатор напряжения измерительный НКФ-110-II-У-1, инв.№ 5311</t>
  </si>
  <si>
    <t>Трансформатор напряжения измерительный НКФ-110-II-У-1, инв.№ 5312</t>
  </si>
  <si>
    <t>Трансформатор напряжения измерительный НКФ-110-II-У-1, инв.№ 5313</t>
  </si>
  <si>
    <t>Трансформатор напряжения измерительный НКФ-110-II-У-1, инв.№ 5314</t>
  </si>
  <si>
    <t>Трансформатор напряжения измерительный НКФ-110-II-У-1, инв.№ 5315</t>
  </si>
  <si>
    <t>Отделитель ОД 110/1000 УХЛ1 с приводом ПРО-00-1ХЛ1 постоянный 220V 3 полюса ГПП Комсомольская, инв.№ 5320</t>
  </si>
  <si>
    <t>P 899 OA</t>
  </si>
  <si>
    <t>Т 739 КА</t>
  </si>
  <si>
    <t>Таблица № П1.17.</t>
  </si>
  <si>
    <t>тыс.руб.</t>
  </si>
  <si>
    <t>п/п</t>
  </si>
  <si>
    <t>Показатели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</si>
  <si>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</si>
  <si>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</si>
  <si>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</si>
  <si>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>4.</t>
  </si>
  <si>
    <t>Средняя за отчетный период стоимость основных производственных фондов</t>
  </si>
  <si>
    <t>5.</t>
  </si>
  <si>
    <t>Средняя норма амортизации</t>
  </si>
  <si>
    <t>6.</t>
  </si>
  <si>
    <t>Сумма амортизационных отчислений</t>
  </si>
  <si>
    <t xml:space="preserve">Балансовая стоимость </t>
  </si>
  <si>
    <t>Транспортный налог</t>
  </si>
  <si>
    <t>Основные расходы</t>
  </si>
  <si>
    <t>Общехозяйственные расходы</t>
  </si>
  <si>
    <t>Аренда</t>
  </si>
  <si>
    <t>Капитальные вложения</t>
  </si>
  <si>
    <t>Налоги</t>
  </si>
  <si>
    <t>Выпадающие доходы</t>
  </si>
  <si>
    <t>Амортизационные отчисления</t>
  </si>
  <si>
    <t>передача эл/энергии</t>
  </si>
  <si>
    <t>Амортизация в 2017 г.</t>
  </si>
  <si>
    <t>Остаточная стоимость на 01.01.2018 г.</t>
  </si>
  <si>
    <t>Цеховые расходы по передаче эл/энергии</t>
  </si>
  <si>
    <t>Итого расходов по передаче эл/энергии</t>
  </si>
  <si>
    <t>прочая</t>
  </si>
  <si>
    <t>кадастровая стоимость 5 551 834,08 руб., ставка налога 1,5% в год</t>
  </si>
  <si>
    <t>Линия электропередач 110кВ к ГПП "Комсомольская"  (Литера НВА), 1239</t>
  </si>
  <si>
    <t>ВСЕГО</t>
  </si>
  <si>
    <t>Остаточная стоимость на 01.01.2019 г.</t>
  </si>
  <si>
    <t>Отделитель ОД 110/1000 УХЛ1 с приводом ПРО-00-1ХЛ1 постоянный 220V 3 полюса ГПП Комсомольская, инв.№ 5319</t>
  </si>
  <si>
    <t>Прибор Парма ВАФ-А(М) 2002, 000005602</t>
  </si>
  <si>
    <t>Рефлектометр портативный "Рейс-105М1", 000005796</t>
  </si>
  <si>
    <t>Блок питания (БПНС-2 УЗ) РП-5, 000005757</t>
  </si>
  <si>
    <t>Блок питания (БПНС-2 УЗ) РП-5, 000005758</t>
  </si>
  <si>
    <t>Блок питания (БПНС-2 УЗ) РП-6, 000005759</t>
  </si>
  <si>
    <t>Блок питания (БПНС-2 УЗ) РП-6, 000005760</t>
  </si>
  <si>
    <t>Вентильный разрядник РВС-35+15 Т-1 ОРУ 110 кВ, 000005672</t>
  </si>
  <si>
    <t>Вентильный разрядник РВС-35+15 Т-2 ОРУ 110 кВ, 000005673</t>
  </si>
  <si>
    <t>Выпрямительное устройство (БПРУ-66/380), 000005726</t>
  </si>
  <si>
    <t>Выпрямительное устройство (ВУСП-22-1) РП-2, 000005746</t>
  </si>
  <si>
    <t>Выпрямительное устройство (ВУСП-22-1) РП-2, 000005747</t>
  </si>
  <si>
    <t>Выпрямительное устройство (КВУ-66-3) РП-1, 000005744</t>
  </si>
  <si>
    <t>Выпрямительное устройство (КВУ-66-3) РП-1, 000005745</t>
  </si>
  <si>
    <t>Выпрямительное устройство (КВУ-66-3) РП-3, 000005748</t>
  </si>
  <si>
    <t>Выпрямительное устройство (КВУ-66-3) РП-3, 000005749</t>
  </si>
  <si>
    <t>Выпрямительное устройство (КВУ-66-3) РП-4, 000005750</t>
  </si>
  <si>
    <t>Выпрямительное устройство (КВУ-66-3) РП-4, 000005751</t>
  </si>
  <si>
    <t>Выпрямительное устройство (УКП1-220 УЗ), 000005727</t>
  </si>
  <si>
    <t>Выпрямительное устройство ВУ-1, 000005667</t>
  </si>
  <si>
    <t>Выпрямительное устройство ВУ-2, 000005668</t>
  </si>
  <si>
    <t>Высокочастотный заградитель В-3 110кВ, 000005669</t>
  </si>
  <si>
    <t>Высокочастотный заградитель В-3 110кВ, 000005670</t>
  </si>
  <si>
    <t>Высокочастотный заградитель В-3 110кВ, 000005671</t>
  </si>
  <si>
    <t>Высокочастотный заградитель В-3 110кВ, 000005685</t>
  </si>
  <si>
    <t>Высокочастотный заградитель В-3 110кВ, 000005701</t>
  </si>
  <si>
    <t>Высокочастотный заградитель В-3 110кВ, 000005702</t>
  </si>
  <si>
    <t>Высокочастотный заградитель В-3 110кВ, 000005712</t>
  </si>
  <si>
    <t>Высокочастотный заградитель В3 110кВ, 000005740</t>
  </si>
  <si>
    <t>Высокочастотный заградитель В3 110кВ, 000005741</t>
  </si>
  <si>
    <t>Высокочастотный заградитель В3 110кВ, 000005742</t>
  </si>
  <si>
    <t>Заземлитель (ЗОН-110) ОРУ 110 кВ, 000005714</t>
  </si>
  <si>
    <t>Заземлитель (ЗОН-110) ОРУ 110 кВ, 000005715</t>
  </si>
  <si>
    <t>Ограничитель перенапряжения ОПН 110/78-10 (2), 000005952</t>
  </si>
  <si>
    <t>Ограничитель перенапряжения ОПН 110/78-10 (2), 000005953</t>
  </si>
  <si>
    <t>ОПН 110кВ ОРУ-110кВ, 000005686</t>
  </si>
  <si>
    <t>Разъединитель РДЗ 1-110Б, 000005338</t>
  </si>
  <si>
    <t>Разъединитель РДЗ 1-110Б, 000005344</t>
  </si>
  <si>
    <t>Секционный разъединитель РЛНД 110/630 ОРУ 110 кВ, 000005663</t>
  </si>
  <si>
    <t>Секционный разъединитель РЛНД 110/630 ОРУ 110 кВ, 000005664</t>
  </si>
  <si>
    <t>Секционный разъединитель РЛНД 110/630 ОРУ 110 кВ, 000005699</t>
  </si>
  <si>
    <t>Секционный разъединитель РЛНД 110/630 ОРУ 110 кВ, 000005700</t>
  </si>
  <si>
    <t>Секционный разъединитель РЛНД 110/630 ОРУ 110 кВ, 000005716</t>
  </si>
  <si>
    <t>Секционный разъединитель РЛНД 110/630 ОРУ 110 кВ, 000005717</t>
  </si>
  <si>
    <t>Трансформатор ТМ 63/10/0,4, 000005797</t>
  </si>
  <si>
    <t>Трансформатор ТМ 63/10/0,4, 000005810</t>
  </si>
  <si>
    <t>Трансформатор ТМ 630/10/0,4, 000005804</t>
  </si>
  <si>
    <t>Трансформатор ТМ 630/10/0,4, 000005805</t>
  </si>
  <si>
    <t>Трансформатор ТМ 630/10/0,4, 000005813</t>
  </si>
  <si>
    <t>Трансформатор ТМ 630/10/0,4, 000005814</t>
  </si>
  <si>
    <t>Трансформатор ТМ100/10/0,4, 000005800</t>
  </si>
  <si>
    <t>Трансформатор ТМ100/6/0,4, 000005822</t>
  </si>
  <si>
    <t>Трансформатор ТМ1000/10/0,4, 000005806</t>
  </si>
  <si>
    <t>Трансформатор ТМ160/10/0,4, 000005812</t>
  </si>
  <si>
    <t>Трансформатор ТМ160/6/0,4, 000005809</t>
  </si>
  <si>
    <t>Трансформатор ТМ1600/10/6, 000005820</t>
  </si>
  <si>
    <t>Трансформатор ТМ1600/10/6, 000005821</t>
  </si>
  <si>
    <t>Трансформатор ТМ180/6/0,4, 000005808</t>
  </si>
  <si>
    <t>Трансформатор ТМ250/10/0,4, 000005799</t>
  </si>
  <si>
    <t>Трансформатор ТМ250/10/0,4, 000005811</t>
  </si>
  <si>
    <t>Трансформатор ТМ250/10/0,4, 000005818</t>
  </si>
  <si>
    <t>Трансформатор ТМ250/10/0,4, 000005819</t>
  </si>
  <si>
    <t>Трансформатор ТМ250/6/0,4, 000005817</t>
  </si>
  <si>
    <t>Трансформатор ТМ2500/10/6, 000005798</t>
  </si>
  <si>
    <t>Трансформатор ТМ2500/10/6, 000005801</t>
  </si>
  <si>
    <t>Трансформатор ТМ2500/10/6, 000005815</t>
  </si>
  <si>
    <t>Трансформатор ТМ40/6/0,4, 000005803</t>
  </si>
  <si>
    <t>Трансформатор ТМ400/6  Т-5 , 000005697</t>
  </si>
  <si>
    <t>Трансформатор ТМ400/6/0,4, 000005816</t>
  </si>
  <si>
    <t>Трансформатор ТМ60/6/0,4, 000005802</t>
  </si>
  <si>
    <t>Трансформатор ТМ60/6/0,4, 000005807</t>
  </si>
  <si>
    <t>Трансформатор ТМ630/6  Т-7 , 000005698</t>
  </si>
  <si>
    <t>Трансформатор ТМВГ 250/6 РП-2, 000005768</t>
  </si>
  <si>
    <t>Трансформатор ТМВГ 250/6 РП-2, 000005769</t>
  </si>
  <si>
    <t>Трансформатор ТМГ21-1000/6/0,4 Д/Ун-11 У1, 000005648</t>
  </si>
  <si>
    <t>Трансформатор ТМГ21-1000/6/0,4 Д/Ун-11 У1, 000005649</t>
  </si>
  <si>
    <t>Трансформатор ТМЗ 400/6 РП-6, 000005774</t>
  </si>
  <si>
    <t>Трансформатор ТМЗ 400/6 РП-6, 000005775</t>
  </si>
  <si>
    <t>Трансформатор ТМФ 400/6 РП-3, 000005770</t>
  </si>
  <si>
    <t>Трансформатор ТМФ 400/6 РП-3, 000005771</t>
  </si>
  <si>
    <t>Трансформатор ТМФ 400/6 РП-4, 000005772</t>
  </si>
  <si>
    <t>Трансформатор ТМФ 400/6 РП-4, 000005773</t>
  </si>
  <si>
    <t>Трансформатор ТСГЛ-630/6/0,4 У/Ун-0 УЗ, 000005438</t>
  </si>
  <si>
    <t>Трансформатор ТСГЛ-630/6/0,4 У/Ун-0 УЗ, 000005439</t>
  </si>
  <si>
    <t>Устройство дуговой защиты ФВИП 423133.004-03, 000005596</t>
  </si>
  <si>
    <t>Устройство дуговой защиты ФВИП 423133.004-03, 000005597</t>
  </si>
  <si>
    <t>Устройство дуговой защиты ФВИП 423133.004-03, 000005598</t>
  </si>
  <si>
    <t>Устройство дуговой защиты ФВИП 423133.004-03, 000005491</t>
  </si>
  <si>
    <t>Устройство дуговой защиты ФВИП 423133.004-03, 000005492</t>
  </si>
  <si>
    <t>Устройство дуговой защиты ФВИП 423133.004-03, 000005493</t>
  </si>
  <si>
    <t>Устройство дуговой защиты ФВИП 423133.004-03, 000005494</t>
  </si>
  <si>
    <t>Шинный разъединитель РЛНД 110/630 ОРУ 110 кВ, 000005665</t>
  </si>
  <si>
    <t>Шинный разъединитель РЛНД 110/630 ОРУ 110 кВ, 000005666</t>
  </si>
  <si>
    <t>Шкаф защиты и АУВ выключателя ввода; Бреслер ШН 2502.11, 000005948</t>
  </si>
  <si>
    <t>Шкаф защиты и АУВ выключателя ввода; Бреслер ШН 2502.11, 000005949</t>
  </si>
  <si>
    <t>Устройство комплектное питания (УКП-1-380) РП-5, 000005761</t>
  </si>
  <si>
    <t>Устройство комплектное питания (УКП-1-380) РП-5, 000005762</t>
  </si>
  <si>
    <t>Устройство комплектное питания (УКПК-380-2) РП-6, 000005763</t>
  </si>
  <si>
    <t>Устройство комплектное питания (УКПК-380-2) РП-6, 000005764</t>
  </si>
  <si>
    <t>Шкаф релейной защиты из 11-ти панелей, 000005734</t>
  </si>
  <si>
    <t>Шкаф релейной защиты из 2-х панелей РП-3, 000005754</t>
  </si>
  <si>
    <t>Шкаф релейной защиты из 2-х панелей РП-4, 000005755</t>
  </si>
  <si>
    <t>Шкаф релейной защиты из 3-х панелей, 000005660</t>
  </si>
  <si>
    <t>Шкаф релейной защиты из 3-х панелей, 000005661</t>
  </si>
  <si>
    <t>Шкаф релейной защиты из 3-х панелей РП-1, 000005752</t>
  </si>
  <si>
    <t>Шкаф релейной защиты из 3-х панелей РП-2, 000005753</t>
  </si>
  <si>
    <t>Шкаф релейной защиты из 3-х панелей РП-6, 000005756</t>
  </si>
  <si>
    <t>Шкаф собственных нужд  из 5-ти панелей, 000005735</t>
  </si>
  <si>
    <t>Щит КСА-2000 , 000005736</t>
  </si>
  <si>
    <t>Щит КСА-2000 , 000005737</t>
  </si>
  <si>
    <t>Щит КСА-2000 , 000005738</t>
  </si>
  <si>
    <t>Щит КСА-2000 , 000005739</t>
  </si>
  <si>
    <t>Щит собственных нужд, 000005662</t>
  </si>
  <si>
    <t>Щит собственных нужд ЩСН-1 ЗРУ-6кВ, 000005743</t>
  </si>
  <si>
    <t>Элегазовый выключатель 3AP1 DT, 000005399</t>
  </si>
  <si>
    <t>Элегазовый выключатель 3AP1 DT, 000005400</t>
  </si>
  <si>
    <t>Элегазовый выключатель 3AP1 DT, 000005401</t>
  </si>
  <si>
    <t>Элегазовый трансформатор тока 110кВ типа ТГФМ-110-У1, 000005583</t>
  </si>
  <si>
    <t>Элегазовый трансформатор тока 110кВ типа ТГФМ-110-У1, 000005584</t>
  </si>
  <si>
    <t>Элегазовый трансформатор тока 110кВ типа ТГФМ-110-У1, 000005585</t>
  </si>
  <si>
    <t>Элегазовый трансформатор тока 110кВ типа ТГФМ-110-У1, 000005586</t>
  </si>
  <si>
    <t>Элегазовый трансформатор тока 110кВ типа ТГФМ-110-У1, 000005587</t>
  </si>
  <si>
    <t>Элегазовый трансформатор тока 110кВ типа ТГФМ-110-У1, 000005588</t>
  </si>
  <si>
    <t>Элегазовый трансформатор тока 110кВ типа ТГФМ-110-У1, 000005589</t>
  </si>
  <si>
    <t>Элегазовый трансформатор тока 110кВ типа ТГФМ-110-У1, 000005590</t>
  </si>
  <si>
    <t>Элегазовый трансформатор тока 110кВ типа ТГФМ-110-У1, 000005591</t>
  </si>
  <si>
    <t>Элегазовый трансформатор тока 110кВ типа ТГФМ-110-У1, 000005592</t>
  </si>
  <si>
    <t>Элегазовый трансформатор тока 110кВ типа ТГФМ-110-У1, 000005593</t>
  </si>
  <si>
    <t>Элегазовый трансформатор тока 110кВ типа ТГФМ-110-У1, 000005594</t>
  </si>
  <si>
    <t>Ячейка КРУ ЗРУ - 6кВ, 000005674</t>
  </si>
  <si>
    <t>Ячейка КРУ ЗРУ - 6кВ, 000005675</t>
  </si>
  <si>
    <t>Ячейка КРУ ЗРУ - 6кВ, 000005676</t>
  </si>
  <si>
    <t>Ячейка КРУ ЗРУ - 6кВ, 000005703</t>
  </si>
  <si>
    <t>Ячейка КРУ ЗРУ - 6кВ, 000005704</t>
  </si>
  <si>
    <t>Ячейка КРУ ЗРУ - 6кВ, 000005705</t>
  </si>
  <si>
    <t>Ячейка КРУ ЗРУ - 6кВ, 000005706</t>
  </si>
  <si>
    <t>Ячейка КРУ ЗРУ - 6кВ, 000005718</t>
  </si>
  <si>
    <t>Ячейка КРУ ЗРУ - 6кВ, 000005719</t>
  </si>
  <si>
    <t>Ячейка КРУ ЗРУ - 6кВ, 000005720</t>
  </si>
  <si>
    <t>Ячейка КРУ ЗРУ - 6кВ, 000005721</t>
  </si>
  <si>
    <t>Ячейка КРУ ЗРУ - 6кВ, 000005722</t>
  </si>
  <si>
    <t>Ячейка КРУ ЗРУ - 6кВ, 000005723</t>
  </si>
  <si>
    <t>Ячейка КРУ ЗРУ - 6кВ, 000005724</t>
  </si>
  <si>
    <t>Ячейка КРУ ЗРУ - 6кВ, 000005725</t>
  </si>
  <si>
    <t>Ячейка КРУ ЗРУ РП-5, 000005765</t>
  </si>
  <si>
    <t>Ячейка КРУ ЗРУ РП-5, 000005766</t>
  </si>
  <si>
    <t>Ячейка КРУ ЗРУ РП-5, 000005767</t>
  </si>
  <si>
    <t>Ячейка КСО, 000005873</t>
  </si>
  <si>
    <t>Ячейка КСО, 000005874</t>
  </si>
  <si>
    <t>Ячейка КСО, 000005875</t>
  </si>
  <si>
    <t>Ячейка КСО, 000005876</t>
  </si>
  <si>
    <t>Ячейка КСО, 000005877</t>
  </si>
  <si>
    <t>Ячейка КСО, 000005878</t>
  </si>
  <si>
    <t>Ячейка КСО, 000005879</t>
  </si>
  <si>
    <t>Ячейка КСО, 000005880</t>
  </si>
  <si>
    <t>Ячейка КСО, 000005881</t>
  </si>
  <si>
    <t>Ячейка КСО, 000005882</t>
  </si>
  <si>
    <t>Ячейка КСО, 000005883</t>
  </si>
  <si>
    <t>Ячейка КСО, 000005884</t>
  </si>
  <si>
    <t>Ячейка КСО, 000005885</t>
  </si>
  <si>
    <t>Ячейка КСО, 000005886</t>
  </si>
  <si>
    <t>Ячейка КСО, 000005887</t>
  </si>
  <si>
    <t>Ячейка КСО, 000005888</t>
  </si>
  <si>
    <t>Ячейка КСО, 000005889</t>
  </si>
  <si>
    <t>Ячейка КСО, 000005890</t>
  </si>
  <si>
    <t>Ячейка КСО, 000005891</t>
  </si>
  <si>
    <t>Ячейка КСО, 000005892</t>
  </si>
  <si>
    <t>Ячейка КСО, 000005893</t>
  </si>
  <si>
    <t>Ячейка КСО, 000005894</t>
  </si>
  <si>
    <t>Ячейка КСО, 000005895</t>
  </si>
  <si>
    <t>Ячейка КСО, 000005896</t>
  </si>
  <si>
    <t>Ячейка КСО, 000005897</t>
  </si>
  <si>
    <t>Ячейка КСО, 000005898</t>
  </si>
  <si>
    <t>Ячейка КСО, 000005899</t>
  </si>
  <si>
    <t>Ячейка КСО, 000005900</t>
  </si>
  <si>
    <t>Ячейка КСО, 000005901</t>
  </si>
  <si>
    <t>Ячейка КСО, 000005902</t>
  </si>
  <si>
    <t>Ячейка КСО, 000005903</t>
  </si>
  <si>
    <t>Ячейка КСО, 000005904</t>
  </si>
  <si>
    <t>Ячейка КСО, 000005905</t>
  </si>
  <si>
    <t>Ячейка КСО, 000005906</t>
  </si>
  <si>
    <t>Ячейка КСО, 000005907</t>
  </si>
  <si>
    <t>Ячейка КСО, 000005908</t>
  </si>
  <si>
    <t>Ячейка КСО, 000005909</t>
  </si>
  <si>
    <t>Ячейка КСО, 000005910</t>
  </si>
  <si>
    <t>Ячейка КСО, 000005911</t>
  </si>
  <si>
    <t>Ячейка КСО, 000005912</t>
  </si>
  <si>
    <t>Ячейка КСО, 000005828</t>
  </si>
  <si>
    <t>Ячейка КСО, 000005829</t>
  </si>
  <si>
    <t>Ячейка КСО, 000005830</t>
  </si>
  <si>
    <t>Ячейка КСО, 000005831</t>
  </si>
  <si>
    <t>Ячейка КСО, 000005832</t>
  </si>
  <si>
    <t>Ячейка КСО, 000005833</t>
  </si>
  <si>
    <t>Ячейка КСО, 000005834</t>
  </si>
  <si>
    <t>Ячейка КСО, 000005835</t>
  </si>
  <si>
    <t>Ячейка КСО, 000005836</t>
  </si>
  <si>
    <t>Ячейка КСО, 000005837</t>
  </si>
  <si>
    <t>Ячейка КСО ЗРУ - 6кВ, 000005687</t>
  </si>
  <si>
    <t>Ячейка КСО ЗРУ - 6кВ, 000005688</t>
  </si>
  <si>
    <t>Ячейка КСО ЗРУ - 6кВ, 000005689</t>
  </si>
  <si>
    <t>Ячейка КСО ЗРУ - 6кВ, 000005690</t>
  </si>
  <si>
    <t>Ячейка КСО ЗРУ - 6кВ, 000005691</t>
  </si>
  <si>
    <t>Ячейка КСО ЗРУ - 6кВ, 000005692</t>
  </si>
  <si>
    <t>Ячейка КСО ЗРУ - 6кВ, 000005693</t>
  </si>
  <si>
    <t>Ячейка КСО ЗРУ 10 кВ, 000005913</t>
  </si>
  <si>
    <t>Ячейка КСО ЗРУ 10 кВ, 000005914</t>
  </si>
  <si>
    <t>Ячейка КСО ЗРУ 10 кВ, 000005915</t>
  </si>
  <si>
    <t>Ячейка КСО ЗРУ 10 кВ, 000005916</t>
  </si>
  <si>
    <t>Ячейка КСО ЗРУ 10 кВ, 000005917</t>
  </si>
  <si>
    <t>Ячейка КСО ЗРУ 10 кВ, 000005918</t>
  </si>
  <si>
    <t>Ячейка КСО ЗРУ 10 кВ, 000005919</t>
  </si>
  <si>
    <t>Ячейка КСО ЗРУ 10 кВ, 000005920</t>
  </si>
  <si>
    <t>Ячейка КСО ЗРУ 10 кВ, 000005921</t>
  </si>
  <si>
    <t>Ячейка КСО ЗРУ 10 кВ, 000005922</t>
  </si>
  <si>
    <t>Ячейка КСО ЗРУ 10 кВ, 000005838</t>
  </si>
  <si>
    <t>Ячейка КСО ЗРУ 10 кВ, 000005839</t>
  </si>
  <si>
    <t>Ячейка КСО ЗРУ 10 кВ, 000005840</t>
  </si>
  <si>
    <t>Ячейка КСО ЗРУ 10 кВ, 000005841</t>
  </si>
  <si>
    <t>Ячейка КСО ЗРУ 10 кВ, 000005842</t>
  </si>
  <si>
    <t>Ячейка КСО ЗРУ 10 кВ, 000005845</t>
  </si>
  <si>
    <t>Ячейка КСО ЗРУ 10 кВ, 000005846</t>
  </si>
  <si>
    <t>Ячейка КСО ЗРУ 10 кВ, 000005847</t>
  </si>
  <si>
    <t>Ячейка КСО ЗРУ 10 кВ, 000005848</t>
  </si>
  <si>
    <t>Ячейка КСО ЗРУ 10 кВ, 000005849</t>
  </si>
  <si>
    <t>Ячейка КСО ЗРУ 10 кВ, 000005850</t>
  </si>
  <si>
    <t>Ячейка КСО ЗРУ 10 кВ, 000005851</t>
  </si>
  <si>
    <t>Ячейка КСО ЗРУ 10 кВ, 000005852</t>
  </si>
  <si>
    <t>Ячейка КСО ЗРУ 10 кВ, 000005853</t>
  </si>
  <si>
    <t>Ячейка КСО ЗРУ 10 кВ, 000005854</t>
  </si>
  <si>
    <t>Ячейка КСО ЗРУ 6 кВ, 000005923</t>
  </si>
  <si>
    <t>Ячейка КСО ЗРУ 6 кВ, 000005924</t>
  </si>
  <si>
    <t>Ячейка КСО ЗРУ 6 кВ, 000005925</t>
  </si>
  <si>
    <t>Ячейка КСО ЗРУ 6 кВ, 000005926</t>
  </si>
  <si>
    <t>Ячейка КСО ЗРУ 6 кВ, 000005927</t>
  </si>
  <si>
    <t>Ячейка КСО ЗРУ 6 кВ, 000005928</t>
  </si>
  <si>
    <t>Ячейка КСО ЗРУ 6 кВ, 000005929</t>
  </si>
  <si>
    <t>Ячейка КСО ЗРУ 6 кВ, 000005930</t>
  </si>
  <si>
    <t>Ячейка КСО ЗРУ 6 кВ, 000005931</t>
  </si>
  <si>
    <t>Ячейка КСО ЗРУ 6 кВ, 000005932</t>
  </si>
  <si>
    <t>Ячейка КСО ЗРУ 6 кВ, 000005933</t>
  </si>
  <si>
    <t>Ячейка КСО ЗРУ 6 кВ, 000005934</t>
  </si>
  <si>
    <t>Ячейка КСО ЗРУ 6 кВ, 000005935</t>
  </si>
  <si>
    <t>Ячейка КСО ЗРУ 6 кВ, 000005936</t>
  </si>
  <si>
    <t>Ячейка КСО ЗРУ 6 кВ, 000005855</t>
  </si>
  <si>
    <t>Ячейка КСО ЗРУ 6 кВ, 000005856</t>
  </si>
  <si>
    <t>Ячейка КСО ЗРУ 6 кВ, 000005857</t>
  </si>
  <si>
    <t>Ячейка КСО ЗРУ 6 кВ, 000005858</t>
  </si>
  <si>
    <t>Ячейка КСО ЗРУ 6 кВ, 000005859</t>
  </si>
  <si>
    <t>Ячейка КСО ЗРУ 6 кВ, 000005860</t>
  </si>
  <si>
    <t>Ячейка КСО ЗРУ 6 кВ, 000005861</t>
  </si>
  <si>
    <t>Ячейка КСО ЗРУ 6 кВ, 000005862</t>
  </si>
  <si>
    <t>Ячейка КСО ЗРУ 6 кВ, 000005863</t>
  </si>
  <si>
    <t>Ячейка КСО ЗРУ 6 кВ, 000005864</t>
  </si>
  <si>
    <t>Ячейка КСО ЗРУ 6 кВ, 000005865</t>
  </si>
  <si>
    <t>Ячейка КСО ЗРУ 6 кВ, 000005866</t>
  </si>
  <si>
    <t>Секция из 3 панелей ЩО-70, 000005824</t>
  </si>
  <si>
    <t>Секция из 3 панелей ЩО-70, 000005825</t>
  </si>
  <si>
    <t>Секция из 3 панелей ЩО-70, 000005826</t>
  </si>
  <si>
    <t>Секция из 3 панелей ЩО-70, 000005827</t>
  </si>
  <si>
    <t>Секция из 3 панелей ЩО-70, 000005843</t>
  </si>
  <si>
    <t>Секция из 3 панелей ЩО-70, 000005844</t>
  </si>
  <si>
    <t>Секция из 3 панелей ЩО-70, 000005867</t>
  </si>
  <si>
    <t>Секция из 3 панелей ЩО-70, 000005868</t>
  </si>
  <si>
    <t>Секция из 3 панелей ЩО-70, 000005869</t>
  </si>
  <si>
    <t>Секция из 4 панелей ЩО-70, 000005870</t>
  </si>
  <si>
    <t>Секция из 4 панелей ЩО-70, 000005871</t>
  </si>
  <si>
    <t>Секция из 4 панелей ЩО-70, 000005872</t>
  </si>
  <si>
    <t>Шкаф ШВОШ, 000005950</t>
  </si>
  <si>
    <t>Шкаф ШВОШ, 000005951</t>
  </si>
  <si>
    <t>к расчету общехозяйственных расходов АО "ЭТК" на 2015 год</t>
  </si>
  <si>
    <t>АО "Электротехнический комплекс"</t>
  </si>
  <si>
    <t>Амортизация в 2018 г.</t>
  </si>
  <si>
    <t>Страхование ОСАГО</t>
  </si>
  <si>
    <t>выручка</t>
  </si>
  <si>
    <t>передача ээ</t>
  </si>
  <si>
    <t>Таблица N П1.17.1</t>
  </si>
  <si>
    <t>Расчет среднегодовой стоимости</t>
  </si>
  <si>
    <t>основных производственных фондов по линиям</t>
  </si>
  <si>
    <t>тыс. руб.</t>
  </si>
  <si>
    <t>Стоимость на начало регулируемого периода</t>
  </si>
  <si>
    <t>Стоимость на конец регулируемого периода</t>
  </si>
  <si>
    <t>Среднегодовая стоимость</t>
  </si>
  <si>
    <t>Амортизация</t>
  </si>
  <si>
    <t>1. Линии электропередач</t>
  </si>
  <si>
    <t xml:space="preserve">ВЛЭП                  </t>
  </si>
  <si>
    <t>СН1</t>
  </si>
  <si>
    <t>СН11</t>
  </si>
  <si>
    <t xml:space="preserve">КЛЭП                  </t>
  </si>
  <si>
    <t xml:space="preserve">2. Подстанции         </t>
  </si>
  <si>
    <t>Всего (стр. 1 + стр. 2)</t>
  </si>
  <si>
    <t>Амортизация за 2019 год</t>
  </si>
  <si>
    <t>Остаточная стоимость на 01.01.2020 г.</t>
  </si>
  <si>
    <t>Земельный участок ТП-3327</t>
  </si>
  <si>
    <t>Земельный участок ПС Комсомольская</t>
  </si>
  <si>
    <t>Земельный участок РП-111</t>
  </si>
  <si>
    <t>к сводному расчету цеховых расходов ОАО "ЭТК", относимых на передачу электрической энергии в 2019 г.</t>
  </si>
  <si>
    <t>ГАЗ 31105</t>
  </si>
  <si>
    <t>Автомобиль ГАЗ-31105, 000005983</t>
  </si>
  <si>
    <t>Кондиционер настенный 0,5 кВт, 000005970</t>
  </si>
  <si>
    <t>М 383 ТС</t>
  </si>
  <si>
    <t>Аренда земельных участков (дог. ДИО Д-С-2-1-4018 123,49 руб/мес, ДГУ Л-1-3-738 297,29 руб/мес.)</t>
  </si>
  <si>
    <t>Аренда помещений (дог. Омскводоканал № 544, 67796,62 руб/мес)</t>
  </si>
  <si>
    <t>Аренда автомобиля (дог. ТГКом 770090, 43,75 руб/мес)</t>
  </si>
  <si>
    <t>Амортизация за 2020 год</t>
  </si>
  <si>
    <t>Остаточная стоимость на 01.01.2021 г.</t>
  </si>
  <si>
    <t>Налог на имущество в 2020 г. (ставка 2,2%)</t>
  </si>
  <si>
    <t>Устройство испытательное РЕТОМ-61, 6052</t>
  </si>
  <si>
    <t>АИИС КУЭ (доп.оборудование), 000006031, 01.12.2017, Четвертая группа (свыше 5 лет до 7 лет включительно)</t>
  </si>
  <si>
    <t>Аккумуляторная батарея (PawerSafe 2 V200) из 120 элементов, 000006017, 01.12.2017, Четвертая группа (свыше 5 лет до 7 лет включительно)</t>
  </si>
  <si>
    <t>Земельны участок ул. Краснознаменная, 8а ТП-2140</t>
  </si>
  <si>
    <t>Расчет амортизационных отчислений и налога на имущество по кабельным и воздушным линиям электропередач АО "Электротехнический комплекс" на 2021 год</t>
  </si>
  <si>
    <t>Таблица П1.4</t>
  </si>
  <si>
    <t>СОГЛАСОВАНО:</t>
  </si>
  <si>
    <t>Зам.директора по развитию и реализации услуг</t>
  </si>
  <si>
    <t>Директор</t>
  </si>
  <si>
    <t>филиала ОАО "МРСК Сибири" - "АК "Омскэнерго"</t>
  </si>
  <si>
    <t>ОАО "Электротехнический комплекс"</t>
  </si>
  <si>
    <t>С.Ю. Некурящих</t>
  </si>
  <si>
    <t>А.Ю. Лунёв</t>
  </si>
  <si>
    <t>________________________________________</t>
  </si>
  <si>
    <t>"_____"_________________ 2009г.</t>
  </si>
  <si>
    <t>Баланс электрической энергии по сетям ВН, СН11 и НН</t>
  </si>
  <si>
    <t>(МВт·ч)</t>
  </si>
  <si>
    <t>№
п/п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</si>
  <si>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</si>
  <si>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</si>
  <si>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</si>
  <si>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</si>
  <si>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</si>
  <si>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</si>
  <si>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</si>
  <si>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</si>
  <si>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</si>
  <si>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</si>
  <si>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</si>
  <si>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</si>
  <si>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</si>
  <si>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</si>
  <si>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</si>
  <si>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</si>
  <si>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</si>
  <si>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</si>
  <si>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</si>
  <si>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</si>
  <si>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</si>
  <si>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</si>
  <si>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</si>
  <si>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Таблица П1.5</t>
  </si>
  <si>
    <t>Электрическая мощность по диапазонам напряжения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</si>
  <si>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</si>
  <si>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</si>
  <si>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</si>
  <si>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</si>
  <si>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</si>
  <si>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</si>
  <si>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</si>
  <si>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</si>
  <si>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</si>
  <si>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</si>
  <si>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ЧЧИ</t>
  </si>
  <si>
    <t>№</t>
  </si>
  <si>
    <t>Группа потребителей</t>
  </si>
  <si>
    <t xml:space="preserve">Всего </t>
  </si>
  <si>
    <t>Потребитель 1</t>
  </si>
  <si>
    <t>…</t>
  </si>
  <si>
    <t>Бюджетные потребители</t>
  </si>
  <si>
    <t>Население</t>
  </si>
  <si>
    <t>Таблица № П1.15.</t>
  </si>
  <si>
    <t>Смета расходов</t>
  </si>
  <si>
    <t>на передачу электрической энергии по сетям</t>
  </si>
  <si>
    <t>п.п.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</si>
  <si>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</si>
  <si>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</si>
  <si>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</si>
  <si>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</si>
  <si>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 характера</t>
  </si>
  <si>
    <t>Топливо на технологические цели</t>
  </si>
  <si>
    <t xml:space="preserve">Энергия </t>
  </si>
  <si>
    <t>5.1.</t>
  </si>
  <si>
    <t>Энергия на технологические цели</t>
  </si>
  <si>
    <t>5.2.</t>
  </si>
  <si>
    <t>Энергия на хозяйственные нужды</t>
  </si>
  <si>
    <t>Затраты на оплату труда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</si>
  <si>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</si>
  <si>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</si>
  <si>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</si>
  <si>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</si>
  <si>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</si>
  <si>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</si>
  <si>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</si>
  <si>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Целевые средства на НИОКР</t>
  </si>
  <si>
    <t>9.2.</t>
  </si>
  <si>
    <t>Средства на  страхование</t>
  </si>
  <si>
    <t>9.3.</t>
  </si>
  <si>
    <t>Плата за предельно допустимые выбросы (сбросы)</t>
  </si>
  <si>
    <t>9.4.</t>
  </si>
  <si>
    <t>Оплата за услуги по организации функционирования и развитию ЕЭС России, ОДУ в электроэнергетике…</t>
  </si>
  <si>
    <t>9.5.</t>
  </si>
  <si>
    <t>Отчисления в ремонтный фонд (в случае его формирования)</t>
  </si>
  <si>
    <t>9.6.</t>
  </si>
  <si>
    <t>Водный налог (ГЭС)</t>
  </si>
  <si>
    <t>9.7.</t>
  </si>
  <si>
    <t>Непроизводственные расходы
(налоги и другие обязательные платежи и сборы)</t>
  </si>
  <si>
    <t>9.7.1.</t>
  </si>
  <si>
    <t>Налог на землю</t>
  </si>
  <si>
    <t>9.7.2.</t>
  </si>
  <si>
    <t>Налог на пользователей автодорог</t>
  </si>
  <si>
    <t>9.8.</t>
  </si>
  <si>
    <t>Другие затраты, относимые на себестоимость продукции,всего</t>
  </si>
  <si>
    <t xml:space="preserve"> </t>
  </si>
  <si>
    <t>9.8.1.</t>
  </si>
  <si>
    <t>Арендная плата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</si>
  <si>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</si>
  <si>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</si>
  <si>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</si>
  <si>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</si>
  <si>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</si>
  <si>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</si>
  <si>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</si>
  <si>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</si>
  <si>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>в том числе:</t>
  </si>
  <si>
    <t>13.1.</t>
  </si>
  <si>
    <t xml:space="preserve">   -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</si>
  <si>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</si>
  <si>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</si>
  <si>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</si>
  <si>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</si>
  <si>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</si>
  <si>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</si>
  <si>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13.2.</t>
  </si>
  <si>
    <t xml:space="preserve">   - тепловая энергия</t>
  </si>
  <si>
    <t>13.2.1.</t>
  </si>
  <si>
    <t>производство теплоэнергии</t>
  </si>
  <si>
    <t>13.2.2.</t>
  </si>
  <si>
    <t>покупная теплоэнергия</t>
  </si>
  <si>
    <t>13.2.3.</t>
  </si>
  <si>
    <t>передача теплоэнергии</t>
  </si>
  <si>
    <t>13.3.</t>
  </si>
  <si>
    <t xml:space="preserve">   - прочая продукция</t>
  </si>
  <si>
    <t>Таблица № П1.18.2.</t>
  </si>
  <si>
    <t xml:space="preserve">Калькуляция расходов, связанных с передачей электрической энергии </t>
  </si>
  <si>
    <t>Калькуляционные статьи затрат</t>
  </si>
  <si>
    <t>из них расходы     на сбыт</t>
  </si>
  <si>
    <t>Основная оплата труда производственных рабочих</t>
  </si>
  <si>
    <t>Дополнительная оплата труда производственных рабочих</t>
  </si>
  <si>
    <t>Страховые выплаты с ФОТ</t>
  </si>
  <si>
    <t>Расходы по содержание и эксплуатации оборудования      
в том числе :</t>
  </si>
  <si>
    <t>4.1.</t>
  </si>
  <si>
    <t>амортизация производственного оборудования</t>
  </si>
  <si>
    <t>4.2.</t>
  </si>
  <si>
    <t>ремонт</t>
  </si>
  <si>
    <t>4.3.</t>
  </si>
  <si>
    <t>другие расходы по содержанию и эксплуатации оборудования</t>
  </si>
  <si>
    <t>Расходы по подготовке и освоению производства (пусковые работы)</t>
  </si>
  <si>
    <t>Цеховые расходы</t>
  </si>
  <si>
    <t xml:space="preserve">  в т.ч. ФОТ</t>
  </si>
  <si>
    <t>Прочие</t>
  </si>
  <si>
    <t>Общехозяйственные расходы, всего в том числе:</t>
  </si>
  <si>
    <t>7.1.</t>
  </si>
  <si>
    <t>7.2.</t>
  </si>
  <si>
    <t>Средства на страхование</t>
  </si>
  <si>
    <t>7.3.</t>
  </si>
  <si>
    <t>Плата за предельно допустимые выбросы (сбросы) загрязняющих вещеcтв</t>
  </si>
  <si>
    <t>7.4.</t>
  </si>
  <si>
    <t>Отчисления в ремонтный фонд в случае его формирования</t>
  </si>
  <si>
    <t>7.5.</t>
  </si>
  <si>
    <t>Непроизводственные расходы (налоги и другие обязательные платежи и сборы) всего, в том числе:</t>
  </si>
  <si>
    <t xml:space="preserve"> - налог на землю</t>
  </si>
  <si>
    <t>7.6.</t>
  </si>
  <si>
    <t>Другие затраты, относимые на себестоимость продукции всего, в том числе:</t>
  </si>
  <si>
    <t>7.6.1.</t>
  </si>
  <si>
    <t>7.6.2.</t>
  </si>
  <si>
    <t>ФОТ</t>
  </si>
  <si>
    <t>7.6.3.</t>
  </si>
  <si>
    <t>7.6.4.</t>
  </si>
  <si>
    <t>Недополученный по независящим  причинам доход</t>
  </si>
  <si>
    <t>Итого производственные расходы</t>
  </si>
  <si>
    <t>Полезный отпуск электроэнергии,  млн.кВт.ч.</t>
  </si>
  <si>
    <t xml:space="preserve">Удельные расходы, руб./тыс.кВт.ч                                    </t>
  </si>
  <si>
    <t xml:space="preserve">Условно-постоянные затраты, в том числе: </t>
  </si>
  <si>
    <t xml:space="preserve">Сумма общехозяйственных расходов </t>
  </si>
  <si>
    <t>14.</t>
  </si>
  <si>
    <t>Таблица № П1.20</t>
  </si>
  <si>
    <t>источников финансирования капитальных вложений</t>
  </si>
  <si>
    <t>Объем капитальных вложений - всего</t>
  </si>
  <si>
    <t xml:space="preserve">    в том числе:</t>
  </si>
  <si>
    <t xml:space="preserve">  - на производственное и научно-техническое развитие</t>
  </si>
  <si>
    <t xml:space="preserve">  - на непроизводственное развитие</t>
  </si>
  <si>
    <t>Финансирование капитальных вложений, всего</t>
  </si>
  <si>
    <t xml:space="preserve">    в т.ч. из средств</t>
  </si>
  <si>
    <t>2.1.</t>
  </si>
  <si>
    <t>Амортизационных отчислений на полное восстановление основных фондов (100 %)</t>
  </si>
  <si>
    <t>2.2.</t>
  </si>
  <si>
    <t>Неиспользованных средств на начало года</t>
  </si>
  <si>
    <t>2.3.</t>
  </si>
  <si>
    <t>Федерального бюджета</t>
  </si>
  <si>
    <t>2.4.</t>
  </si>
  <si>
    <t>Местного бюджета</t>
  </si>
  <si>
    <t>2.5.</t>
  </si>
  <si>
    <t xml:space="preserve">Регионального (республиканского, краевого, областного) бюждета </t>
  </si>
  <si>
    <t>2.6.</t>
  </si>
  <si>
    <t xml:space="preserve">Прочих </t>
  </si>
  <si>
    <t>2.7.</t>
  </si>
  <si>
    <t>Средства, полученные от реализации ценных бумаг</t>
  </si>
  <si>
    <t>2.8.</t>
  </si>
  <si>
    <t>Кредитные средства</t>
  </si>
  <si>
    <t>2.9.</t>
  </si>
  <si>
    <t>Итого по пп. 2.1. - 2.8.</t>
  </si>
  <si>
    <t>2.10.</t>
  </si>
  <si>
    <t>Прибыль (п. 1 - п. 2.9.):</t>
  </si>
  <si>
    <t xml:space="preserve">  - отнесенная на производство электрической энергии</t>
  </si>
  <si>
    <t xml:space="preserve">  - отнесенная на передачу электрической энергии</t>
  </si>
  <si>
    <t xml:space="preserve">  - отнесенная на производство тепловой энергии</t>
  </si>
  <si>
    <t xml:space="preserve">  - отнесенная на передачу тепловой энергии</t>
  </si>
  <si>
    <t xml:space="preserve">   </t>
  </si>
  <si>
    <t>Таблица № П1.20.3</t>
  </si>
  <si>
    <t xml:space="preserve">Справка о финансировании и освоении капитальных вложений 
в электросетевое строительство (передача электроэнергии) </t>
  </si>
  <si>
    <t>Наименование строек</t>
  </si>
  <si>
    <t>Утверждено на отчетный период</t>
  </si>
  <si>
    <t>В течение отчетного периода</t>
  </si>
  <si>
    <t>Остаток финансиро-вания</t>
  </si>
  <si>
    <t>План на период регулирования</t>
  </si>
  <si>
    <t>Источник финансиро-
вания</t>
  </si>
  <si>
    <t>Освоено фактически</t>
  </si>
  <si>
    <t>Профинан-сировано</t>
  </si>
  <si>
    <t>Линия КРУ2-10-20 УЗ</t>
  </si>
  <si>
    <t>Прибыль</t>
  </si>
  <si>
    <t>Выкатной элемент с ВБМ-10-315/1600 (ВОС)</t>
  </si>
  <si>
    <t>Земельный участок ТП-2140</t>
  </si>
  <si>
    <t>Техперевооружение ОПУ ГПП-8 "Кислородная"</t>
  </si>
  <si>
    <t>Сооружение кабельной эстакады и установка ячеек в ЗРУ-6кВ</t>
  </si>
  <si>
    <t>Строительно-монтажные работы по ремонту ЗРУ-6 кВ ПСКомсомольская</t>
  </si>
  <si>
    <t>Монтаж электродуговых защит на подстанциях</t>
  </si>
  <si>
    <t>Электроснабжение жилых домов по ул. Багратиона</t>
  </si>
  <si>
    <t>Электроснабжение жилых домов по ул. Кемеровская</t>
  </si>
  <si>
    <t>Мероприятия по инвестиционной программе</t>
  </si>
  <si>
    <t>Таблица № П.1.21.3</t>
  </si>
  <si>
    <t>Расчет балансовой прибыли, принимаемой при</t>
  </si>
  <si>
    <t>установлении тарифов на передачу</t>
  </si>
  <si>
    <t xml:space="preserve">электрической энергии </t>
  </si>
  <si>
    <t>из них
на сбыт</t>
  </si>
  <si>
    <t>из них    
на сбыт</t>
  </si>
  <si>
    <t>из них     
на сбыт</t>
  </si>
  <si>
    <t>Прибыль на развитие производства</t>
  </si>
  <si>
    <t xml:space="preserve">  - капитальные вложения</t>
  </si>
  <si>
    <t xml:space="preserve">Прибыль на социальное развитие </t>
  </si>
  <si>
    <t>Прибыль на поощрение</t>
  </si>
  <si>
    <t>Дивиденды по акциям</t>
  </si>
  <si>
    <t>Прибыль на прочие цели</t>
  </si>
  <si>
    <t xml:space="preserve"> - % за пользование кредитом</t>
  </si>
  <si>
    <t xml:space="preserve"> - услуги банка</t>
  </si>
  <si>
    <t xml:space="preserve"> - другие (с расшифровкой)</t>
  </si>
  <si>
    <t>Прибыль, облагаемая налогом</t>
  </si>
  <si>
    <t>Налоги, сборы, платежи - всего</t>
  </si>
  <si>
    <t xml:space="preserve"> - на прибыль</t>
  </si>
  <si>
    <t xml:space="preserve"> - на имущество</t>
  </si>
  <si>
    <t xml:space="preserve"> - плата за выбросы загрязняющих веществ</t>
  </si>
  <si>
    <t xml:space="preserve"> - другие налоги и обязательные сборы и платежи</t>
  </si>
  <si>
    <t xml:space="preserve"> Прибыль от товарной продукции</t>
  </si>
  <si>
    <t>Таблица № П1.24.</t>
  </si>
  <si>
    <t xml:space="preserve">Расчет платы за услуги по содержанию электрических сетей </t>
  </si>
  <si>
    <t>Единицы измерения</t>
  </si>
  <si>
    <t>из них           на сбыт</t>
  </si>
  <si>
    <t>УЕ</t>
  </si>
  <si>
    <t>Доля</t>
  </si>
  <si>
    <t>1.1.</t>
  </si>
  <si>
    <t>1.2.</t>
  </si>
  <si>
    <t>в т.ч. СН1</t>
  </si>
  <si>
    <t xml:space="preserve">          СН11</t>
  </si>
  <si>
    <t>1.3.</t>
  </si>
  <si>
    <t>Прибыль, отнесенная на передачу электрической энергии (п.8 табл.П.1.21.3)</t>
  </si>
  <si>
    <t>Рентабельность (п.2 / п.1 * 100%)</t>
  </si>
  <si>
    <t>%</t>
  </si>
  <si>
    <t>Необходимая валовая выручка, отнесенная на передачу электрической энергии (п.1 + п.2)</t>
  </si>
  <si>
    <t>Плата за услуги на содержание электрических сетей в расчете на 1 МВт</t>
  </si>
  <si>
    <t>руб/МВт мес.</t>
  </si>
  <si>
    <t>5.3.</t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</si>
  <si>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(34)-(36)</t>
    </r>
  </si>
  <si>
    <t>руб/МВтч</t>
  </si>
  <si>
    <t>6.1.</t>
  </si>
  <si>
    <t>6.2.</t>
  </si>
  <si>
    <t>6.3.</t>
  </si>
  <si>
    <t>Таблица № П1.25</t>
  </si>
  <si>
    <t xml:space="preserve">Расчет ставки по оплате технологического расхода (потерь) 
электрической энергии 
на ее передачу по сетям </t>
  </si>
  <si>
    <t>Средневзвешенный тариф на электрическую энергию</t>
  </si>
  <si>
    <t>Группа 1. Базовые потребители</t>
  </si>
  <si>
    <t>1.1.1.</t>
  </si>
  <si>
    <t>1.1.2.</t>
  </si>
  <si>
    <t xml:space="preserve">Группа 2-4. </t>
  </si>
  <si>
    <t xml:space="preserve">2. </t>
  </si>
  <si>
    <t>Отпуск электрической энергии в сеть с учетом величины сальдо-перетока электроэнергии</t>
  </si>
  <si>
    <t>млн.кВтч.</t>
  </si>
  <si>
    <t xml:space="preserve">Потери электрической энергии </t>
  </si>
  <si>
    <t>3.1.</t>
  </si>
  <si>
    <t>3.2.</t>
  </si>
  <si>
    <t>3.3.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</si>
  <si>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</si>
  <si>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</si>
  <si>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 ) электрической энергии на ее передачу по сетям</t>
  </si>
  <si>
    <t>руб./МВтч</t>
  </si>
  <si>
    <t>Таблица № П1.27.</t>
  </si>
  <si>
    <t xml:space="preserve">Экономически обоснованные тарифы 
на электрическую энергию (мощность) по группам потребителей </t>
  </si>
  <si>
    <t>в том числе</t>
  </si>
  <si>
    <t>Ед.изм.</t>
  </si>
  <si>
    <t>Объем полезного отпуска</t>
  </si>
  <si>
    <t>Заявленная мощность</t>
  </si>
  <si>
    <t>МВт</t>
  </si>
  <si>
    <t>Тариф на покупку электрической энергии</t>
  </si>
  <si>
    <t>Ставка за мощность</t>
  </si>
  <si>
    <t>руб/МВтмес</t>
  </si>
  <si>
    <t>Ставка за энергию</t>
  </si>
  <si>
    <t xml:space="preserve">Стоимость единицы услуг </t>
  </si>
  <si>
    <t>Плата за услуги по передаче электрической энергии</t>
  </si>
  <si>
    <t>4.1.1.</t>
  </si>
  <si>
    <t>Ставка на содержание электросетей</t>
  </si>
  <si>
    <t>4.1.2.</t>
  </si>
  <si>
    <t>Ставка по оплате потерь</t>
  </si>
  <si>
    <t>Плата за иные услуги</t>
  </si>
  <si>
    <t>Средний одноставочный тариф 
п.3 + п.4</t>
  </si>
  <si>
    <t>Плата за мощность 
п.3.1.+ п.4.1.1 + п.4.2.</t>
  </si>
  <si>
    <t>руб/МВт/мес</t>
  </si>
  <si>
    <t>Плата за энергию п.3.2. + п.4.1.2.</t>
  </si>
  <si>
    <t>Товарная продукция всего п.5 * п.1</t>
  </si>
  <si>
    <t xml:space="preserve"> -  за электроэнергию (мощность) п.3*п.1</t>
  </si>
  <si>
    <t xml:space="preserve"> - за услуги п.4*п.1</t>
  </si>
  <si>
    <t>То же п.6</t>
  </si>
  <si>
    <t xml:space="preserve"> - за мощность п.5.1*п.2*М</t>
  </si>
  <si>
    <t xml:space="preserve"> - за электрическую энергию п.5.2 * п.1</t>
  </si>
  <si>
    <t>Единица измерения</t>
  </si>
  <si>
    <t>Корректировка с учетом надежности и качества</t>
  </si>
  <si>
    <t>Индекс изменения количества активов</t>
  </si>
  <si>
    <t>млн. кВт.ч</t>
  </si>
  <si>
    <t>№ п.п.</t>
  </si>
  <si>
    <t>Долгосрочные параметры (не меняются в течение долгосрочного периода регулирования)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</si>
  <si>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</si>
  <si>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</si>
  <si>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</si>
  <si>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</si>
  <si>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</si>
  <si>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</si>
  <si>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Итого коэффициент индексации</t>
  </si>
  <si>
    <t>Расчет подконтрольных расходов</t>
  </si>
  <si>
    <t>№              п.п.</t>
  </si>
  <si>
    <t>2019                                                принято</t>
  </si>
  <si>
    <t>На товарную продукцию</t>
  </si>
  <si>
    <t>Сырье и материалы</t>
  </si>
  <si>
    <t>Расходы на оплату труда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</si>
  <si>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</si>
  <si>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</si>
  <si>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</si>
  <si>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</si>
  <si>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</si>
  <si>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</si>
  <si>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</si>
  <si>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</si>
  <si>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Расходы социального характера из прибыли</t>
  </si>
  <si>
    <t>1.6.2</t>
  </si>
  <si>
    <t>Проценты по кредитам (ставка рефинансирования от суммы убытка)</t>
  </si>
  <si>
    <t>1.6.3</t>
  </si>
  <si>
    <t>Услуги банка</t>
  </si>
  <si>
    <t>ИТОГО подконтрольные расходы</t>
  </si>
  <si>
    <t>Расчет неподконтрольных расходов</t>
  </si>
  <si>
    <t>Капитальные вложения из прибыли (не более 12% от НВВ)</t>
  </si>
  <si>
    <t>Электроэнергия на хоз. нужды</t>
  </si>
  <si>
    <t>Теплоэнергия</t>
  </si>
  <si>
    <t>Плата за аренду имущества и лизинг</t>
  </si>
  <si>
    <t>Налоги,всего, в том числе:</t>
  </si>
  <si>
    <t>2.6.1.</t>
  </si>
  <si>
    <t>Налог на прибыль</t>
  </si>
  <si>
    <t>2.6.2.</t>
  </si>
  <si>
    <t>2.6.3.</t>
  </si>
  <si>
    <t>Прочие налоги и сборы</t>
  </si>
  <si>
    <t>Отчисления на социальные нужды (ЕСН)</t>
  </si>
  <si>
    <t>Прочие неподконтрольные расходы</t>
  </si>
  <si>
    <t>Выпадающие доходы по технологическому присоединению</t>
  </si>
  <si>
    <t>ИТОГО неподконтрольных расходов</t>
  </si>
  <si>
    <t>ИТОГО расходов</t>
  </si>
  <si>
    <t>Выпадающие доходы (избыток средств)</t>
  </si>
  <si>
    <t>НВВ всего</t>
  </si>
  <si>
    <t>Полезный отпуск электроэнергии</t>
  </si>
  <si>
    <t xml:space="preserve">Заявленная мощность </t>
  </si>
  <si>
    <t>Объем потерь</t>
  </si>
  <si>
    <t>5.4.</t>
  </si>
  <si>
    <t>Средневзвешенный тариф покупки потерь</t>
  </si>
  <si>
    <t>руб./МВт.ч</t>
  </si>
  <si>
    <t>Расходы на оплату технологического расхода (потерь)</t>
  </si>
  <si>
    <t xml:space="preserve">Расходы на передачу электроэнергии </t>
  </si>
  <si>
    <t>Амортизация за 2021 год</t>
  </si>
  <si>
    <t>Остаточная стоимость на 01.01.2022 г.</t>
  </si>
  <si>
    <t>Среднегодовая стоимость имущества в 2021 г.</t>
  </si>
  <si>
    <t>Налог на имущество в 2021 г. (ставка 2,2%)</t>
  </si>
  <si>
    <t>Система контроля управления доступом с учетом отработанного времени, 000006248, 01.08.2019, Шестая группа (свыше 10 лет до 15 лет включительно)</t>
  </si>
  <si>
    <t>Приточная вентиляция, 000006282</t>
  </si>
  <si>
    <t>Шлагбаум, 000006242, 01.06.2019, Четвертая группа (свыше 5 лет до 7 лет включительно)</t>
  </si>
  <si>
    <t>Кондиционер KENTATSU , 000006281, 01.12.2019, Третья группа (свыше 3 лет до 5 лет включительно)</t>
  </si>
  <si>
    <t>Системный блок, 000006067, 01.10.2018, Вторая группа (свыше 2 лет до 3 лет включительно)</t>
  </si>
  <si>
    <t>Расчет амортизационных отчислений и налога наимущество АО "Электротехнический комплекс" на 2021 год, относимых на общехозяйственные расходы</t>
  </si>
  <si>
    <t>Кабельная линия 2 ААБ-1 кВ 3*120+1*70 L-10м, 000006210, 01.05.2019, Четвертая группа (свыше 5 лет до 7 лет включительно)</t>
  </si>
  <si>
    <t>Кабельная линия 2 ААБ-1 кВ 3*150+1*70 L-20м, 000006162, 01.05.2019, Четвертая группа (свыше 5 лет до 7 лет включительно)</t>
  </si>
  <si>
    <t>Кабельная линия 2 ААБ-1 кВ 3*150+1*70 L-20м, 000006163, 01.05.2019, Четвертая группа (свыше 5 лет до 7 лет включительно)</t>
  </si>
  <si>
    <t>Кабельная линия 2 ААБ-1 кВ 3*150+1*70 L-20м + ПВ-1 кВ 3*70 L-30м, 000006218, 01.05.2019, Четвертая группа (свыше 5 лет до 7 лет включительно)</t>
  </si>
  <si>
    <t>Кабельная линия 2 ААБ-1 кВ 3*185+1*70 L-15м, 000006211, 01.05.2019, Четвертая группа (свыше 5 лет до 7 лет включительно)</t>
  </si>
  <si>
    <t>Кабельная линия 2 ААБ-1 кВ 3*185+1*95 L-10м, 000006212, 01.05.2019, Четвертая группа (свыше 5 лет до 7 лет включительно)</t>
  </si>
  <si>
    <t>Кабельная линия 2 ААБ-1 кВ 3*185+1*95 L-12м, 000006213, 01.05.2019, Четвертая группа (свыше 5 лет до 7 лет включительно)</t>
  </si>
  <si>
    <t>Кабельная линия 2 ААБ-6 кВ 3*120 L-35м, 000006192, 01.05.2019, Четвертая группа (свыше 5 лет до 7 лет включительно)</t>
  </si>
  <si>
    <t>Кабельная линия 2 АСБ-1 кВ 3*185+1*95 L-12м, 000006114, 01.05.2019, Четвертая группа (свыше 5 лет до 7 лет включительно)</t>
  </si>
  <si>
    <t>Кабельная линия 2 АСБ-1 кВ 3*185+1*95 L-12м, 000006115, 01.05.2019, Четвертая группа (свыше 5 лет до 7 лет включительно)</t>
  </si>
  <si>
    <t>Кабельная линия 2 ВВГ-1 кВ 4*150 L-16м, 000006164, 01.05.2019, Четвертая группа (свыше 5 лет до 7 лет включительно)</t>
  </si>
  <si>
    <t>Кабельная линия 2 ВВГ-1 кВ 4*150 L-16м, 000006165, 01.05.2019, Четвертая группа (свыше 5 лет до 7 лет включительно)</t>
  </si>
  <si>
    <t>Кабельная линия 4 АВВГ-1 кВ 4*50 L-20м, 000006202, 01.05.2019, Четвертая группа (свыше 5 лет до 7 лет включительно)</t>
  </si>
  <si>
    <t>Кабельная линия 7 ПВ-1 кВ 1*95 L-50м, 000006219, 01.05.2019, Четвертая группа (свыше 5 лет до 7 лет включительно)</t>
  </si>
  <si>
    <t>Кабельная линия ААБ-1 кВ 3*120+1*70 L-10м, 000006196, 01.05.2019, Четвертая группа (свыше 5 лет до 7 лет включительно)</t>
  </si>
  <si>
    <t>Кабельная линия ААБ-1 кВ 3*120+1*70 L-12м, 000006197, 01.05.2019, Четвертая группа (свыше 5 лет до 7 лет включительно)</t>
  </si>
  <si>
    <t>Кабельная линия ААБ-1 кВ 3*150+1*70 L-10м, 000006121, 01.05.2019, Четвертая группа (свыше 5 лет до 7 лет включительно)</t>
  </si>
  <si>
    <t>Кабельная линия ААБ-1 кВ 3*150+1*70 L-10м, 000006122, 01.05.2019, Четвертая группа (свыше 5 лет до 7 лет включительно)</t>
  </si>
  <si>
    <t>Кабельная линия ААБ-1 кВ 3*185+1*95 L-45м, 000006117, 01.05.2019, Четвертая группа (свыше 5 лет до 7 лет включительно)</t>
  </si>
  <si>
    <t>Кабельная линия ААБ-1 кВ 3*185+1*95 L-55м, 000006118, 01.05.2019, Четвертая группа (свыше 5 лет до 7 лет включительно)</t>
  </si>
  <si>
    <t>Кабельная линия ААБ-1 кВ 3*50+1*25 L-15м, 000006154, 01.05.2019, Четвертая группа (свыше 5 лет до 7 лет включительно)</t>
  </si>
  <si>
    <t>Кабельная линия ААБ-1 кВ 3*50+1*25 L-20м, 000006155, 01.05.2019, Четвертая группа (свыше 5 лет до 7 лет включительно)</t>
  </si>
  <si>
    <t>Кабельная линия ААБ-1 кВ 3*95+1*50 L-40м, 000006173, 01.05.2019, Четвертая группа (свыше 5 лет до 7 лет включительно)</t>
  </si>
  <si>
    <t>Кабельная линия ААБ-1 кВ 3*95+1*50 L-50м, 000006172, 01.05.2019, Четвертая группа (свыше 5 лет до 7 лет включительно)</t>
  </si>
  <si>
    <t>Кабельная линия ААБ-10 кВ 3*120 L-20м, 000006133, 01.05.2019, Четвертая группа (свыше 5 лет до 7 лет включительно)</t>
  </si>
  <si>
    <t>Кабельная линия ААБ-10 кВ 3*120 L-20м, 000006134, 01.05.2019, Четвертая группа (свыше 5 лет до 7 лет включительно)</t>
  </si>
  <si>
    <t>Кабельная линия ААБ-10 кВ 3*120 L-20м, 000006135, 01.05.2019, Четвертая группа (свыше 5 лет до 7 лет включительно)</t>
  </si>
  <si>
    <t>Кабельная линия ААБ-10 кВ 3*120 L-20м, 000006142, 01.05.2019, Четвертая группа (свыше 5 лет до 7 лет включительно)</t>
  </si>
  <si>
    <t>Кабельная линия ААБ-10 кВ 3*120 L-20м, 000006174, 01.05.2019, Четвертая группа (свыше 5 лет до 7 лет включительно)</t>
  </si>
  <si>
    <t>Кабельная линия ААБ-10 кВ 3*120 L-20м, 000006175, 01.05.2019, Четвертая группа (свыше 5 лет до 7 лет включительно)</t>
  </si>
  <si>
    <t>Кабельная линия ААБ-10 кВ 3*120 L-30м, 000006215, 01.05.2019, Четвертая группа (свыше 5 лет до 7 лет включительно)</t>
  </si>
  <si>
    <t>Кабельная линия ААБ-10 кВ 3*120 L-35м, 000006214, 01.05.2019, Четвертая группа (свыше 5 лет до 7 лет включительно)</t>
  </si>
  <si>
    <t>Кабельная линия ААБ-10 кВ 3*120 L-60м, 000006141, 01.05.2019, Четвертая группа (свыше 5 лет до 7 лет включительно)</t>
  </si>
  <si>
    <t>Кабельная линия ААБ-10 кВ 3*150 L-40м, 000006190, 01.05.2019, Четвертая группа (свыше 5 лет до 7 лет включительно)</t>
  </si>
  <si>
    <t>Кабельная линия ААБ-10 кВ 3*150 L-60м, 000006191, 01.05.2019, Четвертая группа (свыше 5 лет до 7 лет включительно)</t>
  </si>
  <si>
    <t>Кабельная линия ААБ-10 кВ 3*70 L-12м, 000006184, 01.05.2019, Четвертая группа (свыше 5 лет до 7 лет включительно)</t>
  </si>
  <si>
    <t>Кабельная линия ААБ-10 кВ 3*70 L-15м, 000006128, 01.05.2019, Четвертая группа (свыше 5 лет до 7 лет включительно)</t>
  </si>
  <si>
    <t>Кабельная линия ААБ-10 кВ 3*70 L-15м, 000006185, 01.05.2019, Четвертая группа (свыше 5 лет до 7 лет включительно)</t>
  </si>
  <si>
    <t>Кабельная линия ААБ-10 кВ 3*70 L-20м, 000006204, 01.05.2019, Четвертая группа (свыше 5 лет до 7 лет включительно)</t>
  </si>
  <si>
    <t>Кабельная линия ААБ-10 кВ 3*70 L-20м, 000006205, 01.05.2019, Четвертая группа (свыше 5 лет до 7 лет включительно)</t>
  </si>
  <si>
    <t>Кабельная линия ААБ-10 кВ 3*70 L-85м, 000006198, 01.05.2019, Четвертая группа (свыше 5 лет до 7 лет включительно)</t>
  </si>
  <si>
    <t>Кабельная линия ААБ-10 кВ 3*70 L-85м, 000006199, 01.05.2019, Четвертая группа (свыше 5 лет до 7 лет включительно)</t>
  </si>
  <si>
    <t>Кабельная линия ААБ-10 кВ 3*95 L-120м, 000006209, 01.05.2019, Четвертая группа (свыше 5 лет до 7 лет включительно)</t>
  </si>
  <si>
    <t>Кабельная линия ААБ-10 кВ 3*95 L-18м, 000006144, 01.05.2019, Четвертая группа (свыше 5 лет до 7 лет включительно)</t>
  </si>
  <si>
    <t>Кабельная линия ААБ-10 кВ 3*95 L-20м, 000006145, 01.05.2019, Четвертая группа (свыше 5 лет до 7 лет включительно)</t>
  </si>
  <si>
    <t>Кабельная линия ААБ-10 кВ 3*95 L-30м, 000006176, 01.05.2019, Четвертая группа (свыше 5 лет до 7 лет включительно)</t>
  </si>
  <si>
    <t>Кабельная линия ААБ-10 кВ 3*95 L-30м, 000006177, 01.05.2019, Четвертая группа (свыше 5 лет до 7 лет включительно)</t>
  </si>
  <si>
    <t>Кабельная линия ААБ-10 кВ 3*95 L-40м, 000006127, 01.05.2019, Четвертая группа (свыше 5 лет до 7 лет включительно)</t>
  </si>
  <si>
    <t>Кабельная линия ААБ-10 кВ 3*95 L-40м, 000006136, 01.05.2019, Четвертая группа (свыше 5 лет до 7 лет включительно)</t>
  </si>
  <si>
    <t>Кабельная линия ААБ-10 кВ 3*95 L-40м, 000006137, 01.05.2019, Четвертая группа (свыше 5 лет до 7 лет включительно)</t>
  </si>
  <si>
    <t>Кабельная линия ААБ-10 кВ 3*95 L-75м, 000006140, 01.05.2019, Четвертая группа (свыше 5 лет до 7 лет включительно)</t>
  </si>
  <si>
    <t>Кабельная линия ААБ-10 кВ 3*95 L-90м, 000006208, 01.05.2019, Четвертая группа (свыше 5 лет до 7 лет включительно)</t>
  </si>
  <si>
    <t>Кабельная линия ААБ-6 кВ 3*120 L-100м, 000006150, 01.05.2019, Четвертая группа (свыше 5 лет до 7 лет включительно)</t>
  </si>
  <si>
    <t>Кабельная линия ААБ-6 кВ 3*120 L-70м, 000006206, 01.05.2019, Четвертая группа (свыше 5 лет до 7 лет включительно)</t>
  </si>
  <si>
    <t>Кабельная линия ААБ-6 кВ 3*120 L-70м, 000006207, 01.05.2019, Четвертая группа (свыше 5 лет до 7 лет включительно)</t>
  </si>
  <si>
    <t>Кабельная линия ААБ-6 кВ 3*120 L-80м, 000006151, 01.05.2019, Четвертая группа (свыше 5 лет до 7 лет включительно)</t>
  </si>
  <si>
    <t>Кабельная линия ААБ-6 кВ 3*150 L-60м, 000006193, 01.05.2019, Четвертая группа (свыше 5 лет до 7 лет включительно)</t>
  </si>
  <si>
    <t>Кабельная линия ААШв-10 кВ 3*35 L-25м, 000006178, 01.05.2019, Четвертая группа (свыше 5 лет до 7 лет включительно)</t>
  </si>
  <si>
    <t>Кабельная линия ААШв-10 кВ 3*50 L-20м, 000006201, 01.05.2019, Четвертая группа (свыше 5 лет до 7 лет включительно)</t>
  </si>
  <si>
    <t>Кабельная линия ААШв-10 кВ 3*50 L-20м, 000006217, 01.05.2019, Четвертая группа (свыше 5 лет до 7 лет включительно)</t>
  </si>
  <si>
    <t>Кабельная линия ААШв-10 кВ 3*50 L-30м, 000006200, 01.05.2019, Четвертая группа (свыше 5 лет до 7 лет включительно)</t>
  </si>
  <si>
    <t>Кабельная линия ААШв-10 кВ 3*50 L-30м, 000006216, 01.05.2019, Четвертая группа (свыше 5 лет до 7 лет включительно)</t>
  </si>
  <si>
    <t>Кабельная линия ААШв-10 кВ 3*70 L-70м, 000006159, 01.05.2019, Четвертая группа (свыше 5 лет до 7 лет включительно)</t>
  </si>
  <si>
    <t>Кабельная линия ААШв-10 кВ 3*70 L-80м, 000006158, 01.05.2019, Четвертая группа (свыше 5 лет до 7 лет включительно)</t>
  </si>
  <si>
    <t>Кабельная линия ААШв-10 кВ 3*95 L-15м, 000006166, 01.05.2019, Четвертая группа (свыше 5 лет до 7 лет включительно)</t>
  </si>
  <si>
    <t>Кабельная линия ААШв-10 кВ 3*95 L-15м, 000006167, 01.05.2019, Четвертая группа (свыше 5 лет до 7 лет включительно)</t>
  </si>
  <si>
    <t>Кабельная линия ААШв-10 кВ 3*95 L-50м, 000006156, 01.05.2019, Четвертая группа (свыше 5 лет до 7 лет включительно)</t>
  </si>
  <si>
    <t>Кабельная линия ААШв-10 кВ 3*95 L-50м, 000006157, 01.05.2019, Четвертая группа (свыше 5 лет до 7 лет включительно)</t>
  </si>
  <si>
    <t>Кабельная линия ААШв-10 кВ 3*95 L-50м, 000006188, 01.05.2019, Четвертая группа (свыше 5 лет до 7 лет включительно)</t>
  </si>
  <si>
    <t>Кабельная линия ААШв-10 кВ 3*95 L-50м, 000006189, 01.05.2019, Четвертая группа (свыше 5 лет до 7 лет включительно)</t>
  </si>
  <si>
    <t>Кабельная линия ААШв-6 кВ 3*150 L-130м, 000006171, 01.05.2019, Четвертая группа (свыше 5 лет до 7 лет включительно)</t>
  </si>
  <si>
    <t>Кабельная линия ААШв-6 кВ 3*150 L-135м, 000006170, 01.05.2019, Четвертая группа (свыше 5 лет до 7 лет включительно)</t>
  </si>
  <si>
    <t>Кабельная линия АВБбШв-6 кВ 3*70 L-25м, 000006124, 01.05.2019, Четвертая группа (свыше 5 лет до 7 лет включительно)</t>
  </si>
  <si>
    <t>Кабельная линия АВВГ-1 кВ 3*120+1*70 L-20м, 000006223, 01.05.2019, Четвертая группа (свыше 5 лет до 7 лет включительно)</t>
  </si>
  <si>
    <t>Кабельная линия АВВГ-1 кВ 3*120+1*70 L-25м, 000006224, 01.05.2019, Четвертая группа (свыше 5 лет до 7 лет включительно)</t>
  </si>
  <si>
    <t>Кабельная линия АВВГ-1 кВ 3*120+1*70 L-67м, 000006186, 01.05.2019, Четвертая группа (свыше 5 лет до 7 лет включительно)</t>
  </si>
  <si>
    <t>Кабельная линия АВВГ-1 кВ 3*120+1*70 L-67м, 000006187, 01.05.2019, Четвертая группа (свыше 5 лет до 7 лет включительно)</t>
  </si>
  <si>
    <t>Кабельная линия АВВГ-1 кВ 3*150+1*70 L-20м, 000006146, 01.05.2019, Четвертая группа (свыше 5 лет до 7 лет включительно)</t>
  </si>
  <si>
    <t>Кабельная линия АВВГ-1 кВ 3*150+1*70 L-20м, 000006147, 01.05.2019, Четвертая группа (свыше 5 лет до 7 лет включительно)</t>
  </si>
  <si>
    <t>Кабельная линия АВВГ-1 кВ 3*150+1*70 L-20м, 000006203, 01.05.2019, Четвертая группа (свыше 5 лет до 7 лет включительно)</t>
  </si>
  <si>
    <t>Кабельная линия АВВГ-1 кВ 3*185+1*95 L-20м, 000006179, 01.05.2019, Четвертая группа (свыше 5 лет до 7 лет включительно)</t>
  </si>
  <si>
    <t>Кабельная линия АВВГ-1 кВ 3*185+1*95 L-20м, 000006180, 01.05.2019, Четвертая группа (свыше 5 лет до 7 лет включительно)</t>
  </si>
  <si>
    <t>Кабельная линия АВВГ-1 кВ 3*50+1*25 L-15м, 000006221, 01.05.2019, Четвертая группа (свыше 5 лет до 7 лет включительно)</t>
  </si>
  <si>
    <t>Кабельная линия АВВГ-1 кВ 3*50+1*25 L-25м, 000006183, 01.05.2019, Четвертая группа (свыше 5 лет до 7 лет включительно)</t>
  </si>
  <si>
    <t>Кабельная линия АВВГ-1 кВ 3*50+1*25 L-30м, 000006182, 01.05.2019, Четвертая группа (свыше 5 лет до 7 лет включительно)</t>
  </si>
  <si>
    <t>Кабельная линия АВВГ-1 кВ 3*50+1*25 L-50м, 000006222, 01.05.2019, Четвертая группа (свыше 5 лет до 7 лет включительно)</t>
  </si>
  <si>
    <t>Кабельная линия АВВГ-1 кВ 3*95+1*50 L-12м, 000006138, 01.05.2019, Четвертая группа (свыше 5 лет до 7 лет включительно)</t>
  </si>
  <si>
    <t>Кабельная линия АВВГ-1 кВ 3*95+1*50 L-12м, 000006139, 01.05.2019, Четвертая группа (свыше 5 лет до 7 лет включительно)</t>
  </si>
  <si>
    <t>Кабельная линия АВВГ-1 кВ 3*95+1*50 L-25м, 000006132, 01.05.2019, Четвертая группа (свыше 5 лет до 7 лет включительно)</t>
  </si>
  <si>
    <t>Кабельная линия АВВГ-1 кВ 3*95+1*50 L-41м, 000006131, 01.05.2019, Четвертая группа (свыше 5 лет до 7 лет включительно)</t>
  </si>
  <si>
    <t>Кабельная линия АВВГ-1 кВ 4*70 L-20м, 000006125, 01.05.2019, Четвертая группа (свыше 5 лет до 7 лет включительно)</t>
  </si>
  <si>
    <t>Кабельная линия АВВГ-1 кВ 4*70 L-25м, 000006126, 01.05.2019, Четвертая группа (свыше 5 лет до 7 лет включительно)</t>
  </si>
  <si>
    <t>Кабельная линия АВВГ-1 кВ 4*70 L-50м, 000006220, 01.05.2019, Четвертая группа (свыше 5 лет до 7 лет включительно)</t>
  </si>
  <si>
    <t>Кабельная линия АНРГ-1 кВ 3*95+1*50 L-25м, 000006120, 01.05.2019, Четвертая группа (свыше 5 лет до 7 лет включительно)</t>
  </si>
  <si>
    <t>Кабельная линия АНРГ-1 кВ 3*95+1*50 L-35м, 000006119, 01.05.2019, Четвертая группа (свыше 5 лет до 7 лет включительно)</t>
  </si>
  <si>
    <t>Кабельная линия АСБ-10 кВ 3*70 L-110м, 000006169, 01.05.2019, Четвертая группа (свыше 5 лет до 7 лет включительно)</t>
  </si>
  <si>
    <t>Кабельная линия АСБ-10 кВ 3*70 L-120м, 000006168, 01.05.2019, Четвертая группа (свыше 5 лет до 7 лет включительно)</t>
  </si>
  <si>
    <t>Кабельная линия АСБ-10 кВ 3*70 L-30м, 000006148, 01.05.2019, Четвертая группа (свыше 5 лет до 7 лет включительно)</t>
  </si>
  <si>
    <t>Кабельная линия АСБ-10 кВ 3*70 L-30м, 000006149, 01.05.2019, Четвертая группа (свыше 5 лет до 7 лет включительно)</t>
  </si>
  <si>
    <t>Кабельная линия АСБ-10 кВ 3*95 L-80м, 000006143, 01.05.2019, Четвертая группа (свыше 5 лет до 7 лет включительно)</t>
  </si>
  <si>
    <t>Кабельная линия АСБ-6 кВ 3*150 L-70м, 000006129, 01.05.2019, Четвертая группа (свыше 5 лет до 7 лет включительно)</t>
  </si>
  <si>
    <t>Кабельная линия АСБ-6 кВ 3*150 L-70м, 000006130, 01.05.2019, Четвертая группа (свыше 5 лет до 7 лет включительно)</t>
  </si>
  <si>
    <t>Кабельная линия АСБ-6 кВ 3*50 L-40м, 000006160, 01.05.2019, Четвертая группа (свыше 5 лет до 7 лет включительно)</t>
  </si>
  <si>
    <t>Кабельная линия АСБ-6 кВ 3*50 L-40м, 000006161, 01.05.2019, Четвертая группа (свыше 5 лет до 7 лет включительно)</t>
  </si>
  <si>
    <t>Кабельная линия АСБ-6 кВ 3*70 L-15м, 000006225, 01.05.2019, Четвертая группа (свыше 5 лет до 7 лет включительно)</t>
  </si>
  <si>
    <t>Кабельная линия АСБ-6 кВ 3*70 L-18м, 000006226, 01.05.2019, Четвертая группа (свыше 5 лет до 7 лет включительно)</t>
  </si>
  <si>
    <t>Кабельная линия АСБ-6 кВ 3*70 L-20м, 000006152, 01.05.2019, Четвертая группа (свыше 5 лет до 7 лет включительно)</t>
  </si>
  <si>
    <t>Кабельная линия АСБ-6 кВ 3*70 L-20м, 000006153, 01.05.2019, Четвертая группа (свыше 5 лет до 7 лет включительно)</t>
  </si>
  <si>
    <t>Кабельная линия АСБ-6 кВ 3*70 L-25м, 000006123, 01.05.2019, Четвертая группа (свыше 5 лет до 7 лет включительно)</t>
  </si>
  <si>
    <t>Кабельная линия АСБ-6 кВ 3*70 L-25м, 000006194, 01.05.2019, Четвертая группа (свыше 5 лет до 7 лет включительно)</t>
  </si>
  <si>
    <t>Кабельная линия АСБ-6 кВ 3*70 L-30м, 000006195, 01.05.2019, Четвертая группа (свыше 5 лет до 7 лет включительно)</t>
  </si>
  <si>
    <t>Кабельная линия ВВГ-1 кВ 5*16 L-50м, 000006181, 01.05.2019, Четвертая группа (свыше 5 лет до 7 лет включительно)</t>
  </si>
  <si>
    <t>Кабельная линия СБ-1 кВ 3*120+1*70 L-24м, 000006116, 01.05.2019, Четвертая группа (свыше 5 лет до 7 лет включительно)</t>
  </si>
  <si>
    <t>Кабельная трасса ОРУ-110кВ  ГПП-8 Кислородная, 000006111, 01.03.2019, Десятая группа (свыше 30 лет)</t>
  </si>
  <si>
    <t>Вентильный разрядник РВС-35+15 ОРУ 110 кВ, 000006254, 01.11.2019, Седьмая группа (свыше 15 лет до 20 лет включительно)</t>
  </si>
  <si>
    <t>Вентильный разрядник РВС-35+15 ОРУ 110 кВ, 000006255, 01.11.2019, Седьмая группа (свыше 15 лет до 20 лет включительно)</t>
  </si>
  <si>
    <t>Вентильный разрядник РВС-35+15 ОРУ 110 кВ, 000006256, 01.11.2019, Седьмая группа (свыше 15 лет до 20 лет включительно)</t>
  </si>
  <si>
    <t>Выпрямительное устройство (КВУ-66), 000006257, 01.11.2019, Седьмая группа (свыше 15 лет до 20 лет включительно)</t>
  </si>
  <si>
    <t>Выпрямительное устройство (КВУ-66), 000006258, 01.11.2019, Седьмая группа (свыше 15 лет до 20 лет включительно)</t>
  </si>
  <si>
    <t>Выпрямительное устройство (КВУ-66), 000006266, 01.11.2019, Седьмая группа (свыше 15 лет до 20 лет включительно)</t>
  </si>
  <si>
    <t>Выпрямительное устройство (КВУ-66), 000006267, 01.11.2019, Седьмая группа (свыше 15 лет до 20 лет включительно)</t>
  </si>
  <si>
    <t>Выпрямительное устройство (КВУ-66), 000006270, 01.11.2019, Седьмая группа (свыше 15 лет до 20 лет включительно)</t>
  </si>
  <si>
    <t>Выпрямительное устройство (КВУ-66), 000006271, 01.11.2019, Седьмая группа (свыше 15 лет до 20 лет включительно)</t>
  </si>
  <si>
    <t>Выпрямительное устройство (КВУ-66), 000006283, 01.11.2019, Седьмая группа (свыше 15 лет до 20 лет включительно)</t>
  </si>
  <si>
    <t>Выпрямительное устройство (КВУ-66), 000006284, 01.11.2019, Седьмая группа (свыше 15 лет до 20 лет включительно)</t>
  </si>
  <si>
    <t>Выпрямительное устройство (УКПК-380), 000006259, 01.11.2019, Седьмая группа (свыше 15 лет до 20 лет включительно)</t>
  </si>
  <si>
    <t>Выпрямительное устройство (УКПК-380), 000006260, 01.11.2019, Седьмая группа (свыше 15 лет до 20 лет включительно)</t>
  </si>
  <si>
    <t>Панель релейной защиты из 3-х шкафов, 000006261, 01.11.2019, Седьмая группа (свыше 15 лет до 20 лет включительно)</t>
  </si>
  <si>
    <t>Панель релейной защиты из 4-х шкафов, 000006285, 01.11.2019, Седьмая группа (свыше 15 лет до 20 лет включительно)</t>
  </si>
  <si>
    <t>Панель РЗА из 2-х шкафов, 000006263, 01.11.2019, Седьмая группа (свыше 15 лет до 20 лет включительно)</t>
  </si>
  <si>
    <t>Панель РЗА из 2-х шкафов, 000006273, 01.11.2019, Седьмая группа (свыше 15 лет до 20 лет включительно)</t>
  </si>
  <si>
    <t>Панель собственных нужд из 3-х шкафов, 000006262, 01.11.2019, Седьмая группа (свыше 15 лет до 20 лет включительно)</t>
  </si>
  <si>
    <t>Секция из 3 камер КСО 366, 000006268, 01.11.2019, Седьмая группа (свыше 15 лет до 20 лет включительно)</t>
  </si>
  <si>
    <t>Секция из 3 камер КСО 366, 000006269, 01.11.2019, Седьмая группа (свыше 15 лет до 20 лет включительно)</t>
  </si>
  <si>
    <t>Секция шин 110 кВ, 000006274, 01.11.2019, Седьмая группа (свыше 15 лет до 20 лет включительно)</t>
  </si>
  <si>
    <t>Секция шин 110 кВ, 000006275, 01.11.2019, Седьмая группа (свыше 15 лет до 20 лет включительно)</t>
  </si>
  <si>
    <t>Секция шин 35 кВ, 000006276, 01.11.2019, Седьмая группа (свыше 15 лет до 20 лет включительно)</t>
  </si>
  <si>
    <t>Секция шин 35 кВ, 000006277, 01.11.2019, Седьмая группа (свыше 15 лет до 20 лет включительно)</t>
  </si>
  <si>
    <t>Трансформатор силовой ТС-1000/10/0,4 Д/Ун-11 У(УХЛ)3, 000006092, 01.01.2019, Седьмая группа (свыше 15 лет до 20 лет включительно)</t>
  </si>
  <si>
    <t>Трансформатор силовой ТС-1000/10/0,4 Д/Ун-11 У(УХЛ)3, 000006093, 01.01.2019, Седьмая группа (свыше 15 лет до 20 лет включительно)</t>
  </si>
  <si>
    <t>Шинный мост, 000006098, 01.01.2019, Седьмая группа (свыше 15 лет до 20 лет включительно)</t>
  </si>
  <si>
    <t>Шинный мост, 000006099, 01.01.2019, Седьмая группа (свыше 15 лет до 20 лет включительно)</t>
  </si>
  <si>
    <t>Шинный мост 6 кВ, 000006278, 01.11.2019, Седьмая группа (свыше 15 лет до 20 лет включительно)</t>
  </si>
  <si>
    <t>Шинный мост 6 кВ, 000006279, 01.11.2019, Седьмая группа (свыше 15 лет до 20 лет включительно)</t>
  </si>
  <si>
    <t>Шкаф АВР, 000006264, 01.11.2019, Седьмая группа (свыше 15 лет до 20 лет включительно)</t>
  </si>
  <si>
    <t>Шкаф питания опертока, 000006272, 01.11.2019, Седьмая группа (свыше 15 лет до 20 лет включительно)</t>
  </si>
  <si>
    <t>Шкаф ЩСН, 000006265, 01.11.2019, Седьмая группа (свыше 15 лет до 20 лет включительно)</t>
  </si>
  <si>
    <t>Шкаф ЩУ, 000006280, 01.11.2019, Седьмая группа (свыше 15 лет до 20 лет включительно)</t>
  </si>
  <si>
    <t>Ячейка КСО 399М-03ВВ-630 (ввод), 000006100, 01.01.2019, Седьмая группа (свыше 15 лет до 20 лет включительно)</t>
  </si>
  <si>
    <t>Ячейка КСО 399М-03ВВ-630 (ввод), 000006101, 01.01.2019, Седьмая группа (свыше 15 лет до 20 лет включительно)</t>
  </si>
  <si>
    <t>Ячейка КСО 399М-03ВВ-630 (линия), 000006106, 01.01.2019, Седьмая группа (свыше 15 лет до 20 лет включительно)</t>
  </si>
  <si>
    <t>Ячейка КСО 399М-03ВВ-630 (линия), 000006107, 01.01.2019, Седьмая группа (свыше 15 лет до 20 лет включительно)</t>
  </si>
  <si>
    <t>Ячейка КСО 399М-04ВВ-630 (Т1), 000006102, 01.01.2019, Седьмая группа (свыше 15 лет до 20 лет включительно)</t>
  </si>
  <si>
    <t>Ячейка КСО 399М-04ВВ-630 (Т2), 000006103, 01.01.2019, Седьмая группа (свыше 15 лет до 20 лет включительно)</t>
  </si>
  <si>
    <t>Ячейка КСО 399М-04ВВ-630 (ТН), 000006104, 01.01.2019, Седьмая группа (свыше 15 лет до 20 лет включительно)</t>
  </si>
  <si>
    <t>Ячейка КСО 399М-04ВВ-630 (ТН), 000006105, 01.01.2019, Седьмая группа (свыше 15 лет до 20 лет включительно)</t>
  </si>
  <si>
    <t>Ячейка КСО 399М-22-630 (СР), 000006108, 01.01.2019, Седьмая группа (свыше 15 лет до 20 лет включительно)</t>
  </si>
  <si>
    <t>Ячейка КСО 399М-22-630 (СР), 000006109, 01.01.2019, Седьмая группа (свыше 15 лет до 20 лет включительно)</t>
  </si>
  <si>
    <t>Ячейка ЩО70-1-06 (линии), 000006094, 01.01.2019, Седьмая группа (свыше 15 лет до 20 лет включительно)</t>
  </si>
  <si>
    <t>Ячейка ЩО70-1-06 (линии), 000006095, 01.01.2019, Седьмая группа (свыше 15 лет до 20 лет включительно)</t>
  </si>
  <si>
    <t>Ячейка ЩО70-1-68 (ввод), 000006090, 01.01.2019, Седьмая группа (свыше 15 лет до 20 лет включительно)</t>
  </si>
  <si>
    <t>Ячейка ЩО70-1-68 (ввод), 000006091, 01.01.2019, Седьмая группа (свыше 15 лет до 20 лет включительно)</t>
  </si>
  <si>
    <t>Ячейка ЩО70-1-72 (СР), 000006096, 01.01.2019, Седьмая группа (свыше 15 лет до 20 лет включительно)</t>
  </si>
  <si>
    <t>Ячейка ЩО70-1-72 (СР), 000006097, 01.01.2019, Седьмая группа (свыше 15 лет до 20 лет включительно)</t>
  </si>
  <si>
    <t>Аппарат испытания диэлектриков АИД-70М, 000006243, 01.06.2019, Четвертая группа (свыше 5 лет до 7 лет включительно)</t>
  </si>
  <si>
    <t>Кабельная линия  ААБ 6 кВ 3*185 L-940 м  ВОС РП-1, 540, 01.12.2002, Десятая группа (свыше 30 лет)</t>
  </si>
  <si>
    <t>Кабельная линия  ААБ 6 кВ 3*185 L-940 м  ВОС РП-1, 541, 01.12.2002, Десятая группа (свыше 30 лет)</t>
  </si>
  <si>
    <t>Кабельная линия  ААБ-6 кВ 3*185 L-500м  ВОС РП-4, 536, 01.12.2002, Десятая группа (свыше 30 лет)</t>
  </si>
  <si>
    <t>Кабельная линия  АСБ 6 кВ 3*185 L-1200м  ВОС РП-5, 534, 01.12.2002, Десятая группа (свыше 30 лет)</t>
  </si>
  <si>
    <t>Кабельная линия  ВОС  яч.17 ЗРУ  - яч.6  РП-6, 538, 01.12.2002, Десятая группа (свыше 30 лет)</t>
  </si>
  <si>
    <t>Кабельная линия  ВОС  яч.20 ЗРУ -  яч.3  РП-2, 542, 01.12.2002, Десятая группа (свыше 30 лет)</t>
  </si>
  <si>
    <t>Кабельная линия  ВОС  яч.23  ЗРУ  - яч.13  РП-3, 537, 01.12.2002, Десятая группа (свыше 30 лет)</t>
  </si>
  <si>
    <t>Кабельная линия  ВОС  яч.36 ЗРУ  - яч.10  РП-6, 539, 01.12.2002, Десятая группа (свыше 30 лет)</t>
  </si>
  <si>
    <t>Кабельная линия  ВОС  яч.47 ЗРУ  -  яч.22  РП-2, 543, 01.12.2002, Десятая группа (свыше 30 лет)</t>
  </si>
  <si>
    <t>Кабельная линия  ГПП Комсомольская   яч.21 ЗРУ - яч.13 РП-6 "Водозабор", 1229, 01.12.2003, Восьмая группа (свыше 20 лет до 25 лет включительно)</t>
  </si>
  <si>
    <t>Кабельная линия  ГПП Комсомольская  яч.15 ЗРУ - яч.2 РП-6 "Водозабор"  , 1228, 01.12.2003, Восьмая группа (свыше 20 лет до 25 лет включительно)</t>
  </si>
  <si>
    <t>Кабельная линия  ОБВ-1   яч.6  ЗРУ - Т-6  , 530, 01.12.2002, Десятая группа (свыше 30 лет)</t>
  </si>
  <si>
    <t>Кабельная линия 2 ВБбШвнг (А) 4*120-1 0,4кВ L-137,5м, 000006064, 01.10.2018, Четвертая группа (свыше 5 лет до 7 лет включительно)</t>
  </si>
  <si>
    <t>Кабельная линия 2 ВБбШвнг (А) 4*120-1 0,4кВ L-137,5м, 000006065, 01.10.2018, Четвертая группа (свыше 5 лет до 7 лет включительно)</t>
  </si>
  <si>
    <t>Кабельная линия 2 ВБбШвнг (А) 4*95-1 0,4кВ L-167,6м, 000006060, 01.10.2018, Четвертая группа (свыше 5 лет до 7 лет включительно)</t>
  </si>
  <si>
    <t>Кабельная линия 2 ВБбШвнг (А) 4*95-1 0,4кВ L-167,6м, 000006061, 01.10.2018, Четвертая группа (свыше 5 лет до 7 лет включительно)</t>
  </si>
  <si>
    <t>Кабельная линия 2 ВБбШвнг (А) 4*95-1 0,4кВ L-167,6м, 000006062, 01.10.2018, Четвертая группа (свыше 5 лет до 7 лет включительно)</t>
  </si>
  <si>
    <t>Кабельная линия 2 ВБбШвнг (А) 4*95-1 0,4кВ L-167,6м, 000006063, 01.10.2018, Четвертая группа (свыше 5 лет до 7 лет включительно)</t>
  </si>
  <si>
    <t>Кабельная линия 6 кВ Т-3 ААБ 3*120 L-70м, 000005730, 01.11.2016, Восьмая группа (свыше 20 лет до 25 лет включительно)</t>
  </si>
  <si>
    <t>Кабельная линия 6 кВ Т-4 ААБ 3*120 L-70м, 000005731, 01.11.2016, Восьмая группа (свыше 20 лет до 25 лет включительно)</t>
  </si>
  <si>
    <t>Кабельная линия 6 кВ ТСН-1 ААБ 3*70 L-60м, 000005728, 01.11.2016, Восьмая группа (свыше 20 лет до 25 лет включительно)</t>
  </si>
  <si>
    <t>Кабельная линия 6 кВ ТСН-2 ААБ 3*70 L-55м, 000005729, 01.11.2016, Восьмая группа (свыше 20 лет до 25 лет включительно)</t>
  </si>
  <si>
    <t>Кабельная линия ААБ 6 кВ 3*95 L-298м КТП-1 ф.10 ВОС , 000005440, 01.11.2013, Десятая группа (свыше 30 лет)</t>
  </si>
  <si>
    <t>Кабельная линия ААБ-6 кВ 3*70 L-35м ВОС РП-2 Т-1, 000005784, 01.11.2016, Восьмая группа (свыше 20 лет до 25 лет включительно)</t>
  </si>
  <si>
    <t>Кабельная линия ААБ-6 кВ 3*70 L-35м ВОС РП-2 Т-2, 000005785, 01.11.2016, Восьмая группа (свыше 20 лет до 25 лет включительно)</t>
  </si>
  <si>
    <t>Кабельная линия ААБ-6 кВ 3*95 L-13м ВОС РП-6 Т-1, 000005790, 01.11.2016, Восьмая группа (свыше 20 лет до 25 лет включительно)</t>
  </si>
  <si>
    <t>Кабельная линия ААБ-6 кВ 3*95 L-17м ВОС РП-4 Т-1, 000005788, 01.11.2016, Восьмая группа (свыше 20 лет до 25 лет включительно)</t>
  </si>
  <si>
    <t>Кабельная линия ААБ-6 кВ 3*95 L-18м ВОС РП-6 Т-2, 000005791, 01.11.2016, Восьмая группа (свыше 20 лет до 25 лет включительно)</t>
  </si>
  <si>
    <t>Кабельная линия ААБ-6 кВ 3*95 L-20м ВОС РП-4 Т-2, 000005789, 01.11.2016, Восьмая группа (свыше 20 лет до 25 лет включительно)</t>
  </si>
  <si>
    <t>Кабельная линия ААБ-6 кВ 3*95 L-298м ВОС КТП-1 ф.30, 000006079, 01.11.2018, Четвертая группа (свыше 5 лет до 7 лет включительно)</t>
  </si>
  <si>
    <t>Кабельная линия ААБ-6 кВ 3*95 L-30м ВОС РП-1 Т-1, 000005782, 01.11.2016, Восьмая группа (свыше 20 лет до 25 лет включительно)</t>
  </si>
  <si>
    <t>Кабельная линия ААБ-6 кВ 3*95 L-30м ВОС РП-1 Т-2, 000005783, 01.11.2016, Восьмая группа (свыше 20 лет до 25 лет включительно)</t>
  </si>
  <si>
    <t>Кабельная линия ААБ2Л-10 кВ 3*95-1 ТП-2379 L-130м, 000006059, 01.10.2018, Четвертая группа (свыше 5 лет до 7 лет включительно)</t>
  </si>
  <si>
    <t>Кабельная линия ААШв-6 кВ 3*70 L-15м ВОС ТСН-1, 000005792, 01.11.2016, Восьмая группа (свыше 20 лет до 25 лет включительно)</t>
  </si>
  <si>
    <t>Кабельная линия ААШв-6 кВ 3*70 L-15м ВОС ТСН-2, 000005793, 01.11.2016, Восьмая группа (свыше 20 лет до 25 лет включительно)</t>
  </si>
  <si>
    <t>Кабельная линия ААШв-6 кВ 3*70 L-280м ВОС ТП-10, 000005780, 01.11.2016, Восьмая группа (свыше 20 лет до 25 лет включительно)</t>
  </si>
  <si>
    <t>Кабельная линия ААШву-6 кВ 3*70 L-300м ВОС ТП-13, 000005781, 01.11.2016, Восьмая группа (свыше 20 лет до 25 лет включительно)</t>
  </si>
  <si>
    <t>Кабельная линия ААШву-6 кВ 3*70 L-300м ВОС ТП-13, 000005823, 01.11.2016, Восьмая группа (свыше 20 лет до 25 лет включительно)</t>
  </si>
  <si>
    <t>Кабельная линия АВБбШвнг (А) 4*50-1 0,4 кВ ТП-2379 L-115м, 000006066, 01.10.2018, Четвертая группа (свыше 5 лет до 7 лет включительно)</t>
  </si>
  <si>
    <t>Кабельная линия АСБ 3*95 10 кВ ТП-2379 L-800м, 000006070, 01.11.2018, Четвертая группа (свыше 5 лет до 7 лет включительно)</t>
  </si>
  <si>
    <t>Кабельная линия АСБ 3*95 10 кВ ТП-2379 L-800м, 000006071, 01.11.2018, Четвертая группа (свыше 5 лет до 7 лет включительно)</t>
  </si>
  <si>
    <t>Кабельная линия АСБ-6 кВ 3*185 L-1200м ВОС РП-5, 000005777, 01.11.2016, Восьмая группа (свыше 20 лет до 25 лет включительно)</t>
  </si>
  <si>
    <t>Кабельная линия АСБ-6 кВ 3*50 L-40м ВОС ТП-7, 000005779, 01.11.2016, Восьмая группа (свыше 20 лет до 25 лет включительно)</t>
  </si>
  <si>
    <t>Кабельная линия АСБ-6 кВ 3*50 L-50м ВОС ТП-7, 000005778, 01.11.2016, Восьмая группа (свыше 20 лет до 25 лет включительно)</t>
  </si>
  <si>
    <t>Кабельная линия АСБ-6 кВ 3*70 Т-4 ПС L-50м, 000005695, 01.11.2016, Восьмая группа (свыше 20 лет до 25 лет включительно)</t>
  </si>
  <si>
    <t>Кабельная линия АСБ-6 кВ 3*95 Т-3 L-60м, 000005694, 01.11.2016, Восьмая группа (свыше 20 лет до 25 лет включительно)</t>
  </si>
  <si>
    <t>Кабельная линия ВОС  ТСН-1 - 1СШ  ЩСН ОПУ, 000005794, 01.11.2016, Восьмая группа (свыше 20 лет до 25 лет включительно)</t>
  </si>
  <si>
    <t>Кабельная линия ВОС  ТСН-2 - 2СШ  ЩСН  ОПУ, 000005795, 01.11.2016, Восьмая группа (свыше 20 лет до 25 лет включительно)</t>
  </si>
  <si>
    <t>Кабельная линия ВОС  яч.29 ЗРУ  - яч.16  РП-3, 000005776, 01.11.2016, Восьмая группа (свыше 20 лет до 25 лет включительно)</t>
  </si>
  <si>
    <t>Кабельная линия ВОС  яч.31  ЗРУ - яч.1  ТП-5, 253, 01.12.2002, Десятая группа (свыше 30 лет)</t>
  </si>
  <si>
    <t>Кабельная линия ВОС РП-3  яч.3 ЗРУ  -  Т-1, 000005786, 01.11.2016, Восьмая группа (свыше 20 лет до 25 лет включительно)</t>
  </si>
  <si>
    <t>Кабельная линия ВОС РП-3  яч.6  ЗРУ -  Т-2, 000005787, 01.11.2016, Восьмая группа (свыше 20 лет до 25 лет включительно)</t>
  </si>
  <si>
    <t>Кабельная линия ВОС яч.14  ЗРУ   - яч.2  ТП-5, 254, 01.12.2002, Десятая группа (свыше 30 лет)</t>
  </si>
  <si>
    <t>Кабельная линия ГНС   яч.21  ЗРУ -  Т-1   , 000005677, 01.11.2016, Восьмая группа (свыше 20 лет до 25 лет включительно)</t>
  </si>
  <si>
    <t>Кабельная линия ГНС яч.11 ЗРУ - ТСН-1  , 000005679, 01.11.2016, Восьмая группа (свыше 20 лет до 25 лет включительно)</t>
  </si>
  <si>
    <t>Кабельная линия ГНС яч.16  ЗРУ - ТСН-2   , 000005680, 01.11.2016, Восьмая группа (свыше 20 лет до 25 лет включительно)</t>
  </si>
  <si>
    <t>Кабельная линия линия  ГНС   яч.22  ЗРУ -  Т-2, 000005678, 01.11.2016, Восьмая группа (свыше 20 лет до 25 лет включительно)</t>
  </si>
  <si>
    <t>Кабельная линия ОБВ-1    яч.4  ЗРУ - Т-7, 000005696, 01.11.2016, Восьмая группа (свыше 20 лет до 25 лет включительно)</t>
  </si>
  <si>
    <t>Кабельная линия ОБВ-2    яч.4 ЗРУ  -  Т-5  , 000005709, 01.11.2016, Восьмая группа (свыше 20 лет до 25 лет включительно)</t>
  </si>
  <si>
    <t>Кабельная линия ОБВ-2   яч.8  ЗРУ - Т-4, 000005708, 01.11.2016, Восьмая группа (свыше 20 лет до 25 лет включительно)</t>
  </si>
  <si>
    <t>Кабельная линия ОБВ-2  яч.10 ЗРУ  - Т-6, 000005710, 01.11.2016, Восьмая группа (свыше 20 лет до 25 лет включительно)</t>
  </si>
  <si>
    <t>Кабельная линия ОБВ-2  яч.2  ЗРУ  -  Т-3, 000005707, 01.11.2016, Восьмая группа (свыше 20 лет до 25 лет включительно)</t>
  </si>
  <si>
    <t>Кабельная линия ПС Падь  п.18 АВ-2 ОПУ - ТСН-2  ОРУ, 000005733, 01.11.2016, Восьмая группа (свыше 20 лет до 25 лет включительно)</t>
  </si>
  <si>
    <t>Кабельная линия ПС Падь п.20 АВ-1 ОПУ - ТСН-1  ОРУ, 000005732, 01.11.2016, Восьмая группа (свыше 20 лет до 25 лет включительно)</t>
  </si>
  <si>
    <t>Кабельная эстакада на ПС "ВОС" 110/6кВ, 2849, 01.11.2007, Восьмая группа (свыше 20 лет до 25 лет включительно)</t>
  </si>
  <si>
    <t>Кабельная эстакада от ПС "ВОС" до РП-2, 2934, 01.11.2008, Восьмая группа (свыше 20 лет до 25 лет включительно)</t>
  </si>
  <si>
    <t>Кабельные каналы (бетон.) ОБВ-1, 38, 01.11.2002, Десятая группа (свыше 30 лет)</t>
  </si>
  <si>
    <t>Кабельные каналы (бетон.) ОБВ-2, 76, 01.11.2002, Десятая группа (свыше 30 лет)</t>
  </si>
  <si>
    <t>Кабельные каналы (наружные кабельные сети)  ГНС, 149, 01.11.2002, Десятая группа (свыше 30 лет)</t>
  </si>
  <si>
    <t>Кабельные каналы 90,9м, 000006018, 01.12.2017, Десятая группа (свыше 30 лет)</t>
  </si>
  <si>
    <t>Кабельные каналы п/ст "Падь", 111, 01.11.2002, Десятая группа (свыше 30 лет)</t>
  </si>
  <si>
    <t>Кабельный канал ОРУ 110 кВ ВОС, 242, 01.11.2002, Десятая группа (свыше 30 лет)</t>
  </si>
  <si>
    <t>Ячейка КСО-272 линейная 630А, 000006053, 01.09.2018, Седьмая группа (свыше 15 лет до 20 лет включительно)</t>
  </si>
  <si>
    <t>Ящик АВР Я8301-3464-УХЛ4, 000006014, 01.12.2017, Четвертая группа (свыше 5 лет до 7 лет включительно)</t>
  </si>
  <si>
    <t>Ящик зажимов: с системой TN-S(N, PE) ШЗВ-200-УХЛ1, 000006029, 01.12.2017, Четвертая группа (свыше 5 лет до 7 лет включительно)</t>
  </si>
  <si>
    <t>Ящик зажимов: с системой TN-S(N, PE) ШЗВ-200-УХЛ1, 000006030, 01.12.2017, Четвертая группа (свыше 5 лет до 7 лет включительно)</t>
  </si>
  <si>
    <t>Ящик зажимов: ЯЗВМ-120, 000006024, 01.12.2017, Четвертая группа (свыше 5 лет до 7 лет включительно)</t>
  </si>
  <si>
    <t>Ящик зажимов: ЯЗВМ-120, 000006025, 01.12.2017, Четвертая группа (свыше 5 лет до 7 лет включительно)</t>
  </si>
  <si>
    <t>Ящик зажимов: ЯЗВМ-120, 000006026, 01.12.2017, Четвертая группа (свыше 5 лет до 7 лет включительно)</t>
  </si>
  <si>
    <t>Ящик управления, тип: 5430 3974, 4074 УХЛ4, 000006021, 01.12.2017, Четвертая группа (свыше 5 лет до 7 лет включительно)</t>
  </si>
  <si>
    <t>Ящик управления, тип: 5430 3974, 4074 УХЛ4, 000006022, 01.12.2017, Четвертая группа (свыше 5 лет до 7 лет включительно)</t>
  </si>
  <si>
    <t>Ящик управления, тип: 5430 3974, 4074 УХЛ4, 000006023, 01.12.2017, Четвертая группа (свыше 5 лет до 7 лет включительно)</t>
  </si>
  <si>
    <t>Ящик управления, тип: 5430 3974, 4074 УХЛ4, 000006027, 01.12.2017, Четвертая группа (свыше 5 лет до 7 лет включительно)</t>
  </si>
  <si>
    <t>Ящик управления, тип: 5430 3974, 4074 УХЛ4, 000006028, 01.12.2017, Четвертая группа (свыше 5 лет до 7 лет включительно)</t>
  </si>
  <si>
    <t>ИУС ПС ВОС, 000006083, 01.12.2018, Четвертая группа (свыше 5 лет до 7 лет включительно)</t>
  </si>
  <si>
    <t>ИУС ПС ГНС, 000006084, 01.12.2018, Четвертая группа (свыше 5 лет до 7 лет включительно)</t>
  </si>
  <si>
    <t>ИУС ПС Комсомольская, 000006085, 01.12.2018, Четвертая группа (свыше 5 лет до 7 лет включительно)</t>
  </si>
  <si>
    <t>ИУС ПС ОБВ-2, 000006086, 01.12.2018, Четвертая группа (свыше 5 лет до 7 лет включительно)</t>
  </si>
  <si>
    <t>Ограничитель перенапряжений ОПН 110/78-10/650(II)2  УХЛ 1, 000005968, 01.07.2017, Седьмая группа (свыше 15 лет до 20 лет включительно)</t>
  </si>
  <si>
    <t>Ограничитель перенапряжений ОПН 110/78-10/650(II)2  УХЛ 1, 000005969, 01.07.2017, Седьмая группа (свыше 15 лет до 20 лет включительно)</t>
  </si>
  <si>
    <t>Пункт распределительный ПР 11-3106-54УЗ, 000006019, 01.12.2017, Четвертая группа (свыше 5 лет до 7 лет включительно)</t>
  </si>
  <si>
    <t>Пункт распределительный ПР 11-3106-54УЗ, 000006020, 01.12.2017, Четвертая группа (свыше 5 лет до 7 лет включительно)</t>
  </si>
  <si>
    <t>Распределительное устройство РУ-0,4 кВ, 000006055, 01.10.2018, Седьмая группа (свыше 15 лет до 20 лет включительно)</t>
  </si>
  <si>
    <t>Распределительное устройство РУ-10 кВ, 000006056, 01.10.2018, Седьмая группа (свыше 15 лет до 20 лет включительно)</t>
  </si>
  <si>
    <t>Серверный шкаф, 000006048, 01.06.2018, Четвертая группа (свыше 5 лет до 7 лет включительно)</t>
  </si>
  <si>
    <t>Терминал защиты и автоматики ввод 1 ТОР 200 В, 000005990, 01.12.2017, Четвертая группа (свыше 5 лет до 7 лет включительно)</t>
  </si>
  <si>
    <t>Терминал защиты и автоматики ввод 2 ТОР 200 В, 000005991, 01.12.2017, Четвертая группа (свыше 5 лет до 7 лет включительно)</t>
  </si>
  <si>
    <t>Терминал защиты и автоматики ввод 3 ТОР 200 В, 000005992, 01.12.2017, Четвертая группа (свыше 5 лет до 7 лет включительно)</t>
  </si>
  <si>
    <t>Терминал защиты и автоматики ввод 4 ТОР 220 В, 000005993, 01.12.2017, Четвертая группа (свыше 5 лет до 7 лет включительно)</t>
  </si>
  <si>
    <t>Терминал защиты и автоматики ТОР 220 В (ЗИП), 000005994, 01.12.2017, Четвертая группа (свыше 5 лет до 7 лет включительно)</t>
  </si>
  <si>
    <t>Трансформатор ТМ 100/6-0,4 кВ, 000006074, 01.11.2018, Седьмая группа (свыше 15 лет до 20 лет включительно)</t>
  </si>
  <si>
    <t>Трансформатор ТМ 160/10/0,4 кВ, 000006075, 01.11.2018, Седьмая группа (свыше 15 лет до 20 лет включительно)</t>
  </si>
  <si>
    <t>Трансформатор ТМ 630/10-У1, 000006081, 01.11.2018, Седьмая группа (свыше 15 лет до 20 лет включительно)</t>
  </si>
  <si>
    <t>Трансформатор ТМ 630/10-У1, 000006082, 01.11.2018, Седьмая группа (свыше 15 лет до 20 лет включительно)</t>
  </si>
  <si>
    <t>Трансформатор ТМ-400 10/0,4 кВ (в комплекте), 000005981, 01.10.2017, Четвертая группа (свыше 5 лет до 7 лет включительно)</t>
  </si>
  <si>
    <t>Трансформатор ТМ-400 10/0,4 кВ (в комплекте), 000005986, 01.10.2017, Четвертая группа (свыше 5 лет до 7 лет включительно)</t>
  </si>
  <si>
    <t>Трансформатор ТМЗ 630 кВА 6/0,4 кВ, 000006072, 01.11.2018, Седьмая группа (свыше 15 лет до 20 лет включительно)</t>
  </si>
  <si>
    <t>Трансформатор ТМЗ 630 кВА 6/0,4 кВ, 000006073, 01.11.2018, Седьмая группа (свыше 15 лет до 20 лет включительно)</t>
  </si>
  <si>
    <t>Трансформатор ТМФ 400/6/0,4 кВ ТП-7, 000006076, 01.11.2018, Седьмая группа (свыше 15 лет до 20 лет включительно)</t>
  </si>
  <si>
    <t>Трансформатор ТМФ 400/6/0,4 кВ ТП-7, 000006077, 01.11.2018, Седьмая группа (свыше 15 лет до 20 лет включительно)</t>
  </si>
  <si>
    <t>Трансформатор тока ТОЛ-10-1/7 СВЛ У2 1500/5 0.5S/10Р, 000006032, 01.12.2017, Четвертая группа (свыше 5 лет до 7 лет включительно)</t>
  </si>
  <si>
    <t>Трансформатор тока ТОЛ-10-1/7 СВЛ У2 1500/5 0.5S/10Р, 000006033, 01.12.2017, Четвертая группа (свыше 5 лет до 7 лет включительно)</t>
  </si>
  <si>
    <t>Трансформатор тока ТОЛ-10-1/7 СВЛ У2 1500/5 0.5S/10Р, 000006034, 01.12.2017, Четвертая группа (свыше 5 лет до 7 лет включительно)</t>
  </si>
  <si>
    <t>Трансформатор тока ТОЛ-10-1/7 СВЛ У2 1500/5 0.5S/10Р, 000006035, 01.12.2017, Четвертая группа (свыше 5 лет до 7 лет включительно)</t>
  </si>
  <si>
    <t>Трансформатор тока ТШЛ-0,66-III-1У2 (ТСН-1), 000006036, 01.12.2017, Четвертая группа (свыше 5 лет до 7 лет включительно)</t>
  </si>
  <si>
    <t>Трансформатор тока ТШЛ-0,66-III-1У2 (ТСН-2), 000006037, 01.12.2017, Четвертая группа (свыше 5 лет до 7 лет включительно)</t>
  </si>
  <si>
    <t>Трансформатор ТСГЛ-1250/10/0.4 Д/Ун-11 УЗ, 000006057, 01.10.2018, Седьмая группа (свыше 15 лет до 20 лет включительно)</t>
  </si>
  <si>
    <t>Трансформатор ТСГЛ-1250/10/0.4 Д/Ун-11 УЗ, 000006058, 01.10.2018, Седьмая группа (свыше 15 лет до 20 лет включительно)</t>
  </si>
  <si>
    <t>Шкаф Бреслер ШЛ 2606.516 АУВ С21, 000005995, 01.12.2017, Четвертая группа (свыше 5 лет до 7 лет включительно)</t>
  </si>
  <si>
    <t>Шкаф Бреслер ШЛ 2606.516 АУВ С22, 000005996, 01.12.2017, Четвертая группа (свыше 5 лет до 7 лет включительно)</t>
  </si>
  <si>
    <t>Шкаф Бреслер ШЛ 2606.519 АУВ СВ-110 кВ, 000005999, 01.12.2017, Четвертая группа (свыше 5 лет до 7 лет включительно)</t>
  </si>
  <si>
    <t>Шкаф Бреслер ШН 2415.10 ЦС и питания ОБР, 000006000, 01.12.2017, Четвертая группа (свыше 5 лет до 7 лет включительно)</t>
  </si>
  <si>
    <t>Шкаф Бреслер ШН 2502.10 АУВ СВ 6 кВ 1-3 с.ш., 000005997, 01.12.2017, Четвертая группа (свыше 5 лет до 7 лет включительно)</t>
  </si>
  <si>
    <t>Шкаф Бреслер ШН 2502.10 АУВ СВ 6 кВ 2-4 с.ш., 000005998, 01.12.2017, Четвертая группа (свыше 5 лет до 7 лет включительно)</t>
  </si>
  <si>
    <t>Шкаф Бреслер ШТ 2108.513 Шкаф основной и резервной защиты Т-1, 000006001, 01.12.2017, Четвертая группа (свыше 5 лет до 7 лет включительно)</t>
  </si>
  <si>
    <t>Шкаф Бреслер ШТ 2108.513 Шкаф основной и резервной защиты Т-2, 000006002, 01.12.2017, Четвертая группа (свыше 5 лет до 7 лет включительно)</t>
  </si>
  <si>
    <t>Шкаф ЗВУ ВЗТП 40.220+18.48, 000006015, 01.12.2017, Четвертая группа (свыше 5 лет до 7 лет включительно)</t>
  </si>
  <si>
    <t>Шкаф ЗВУ ВЗТП 40.220+18.48, 000006016, 01.12.2017, Четвертая группа (свыше 5 лет до 7 лет включительно)</t>
  </si>
  <si>
    <t>Шкаф релейной защиты из 3-х панелей РП-5, 000006078, 01.11.2018, Седьмая группа (свыше 15 лет до 20 лет включительно)</t>
  </si>
  <si>
    <t>Щит постоянного тока ЩОТН-H-CQ-0.0160.19.24.06 из 3-х шкафов , 000006013, 01.12.2017, Четвертая группа (свыше 5 лет до 7 лет включительно)</t>
  </si>
  <si>
    <t>Щит собственных нужд переменного тока из 3-х шкафов ВРУ-ОРС-0250.1.26.06, 000006012, 01.12.2017, Четвертая группа (свыше 5 лет до 7 лет включительно)</t>
  </si>
  <si>
    <t>Элегазовый баковый выключатель, 000006003, 01.12.2017, Четвертая группа (свыше 5 лет до 7 лет включительно)</t>
  </si>
  <si>
    <t>Элегазовый баковый выключатель, 000006004, 01.12.2017, Четвертая группа (свыше 5 лет до 7 лет включительно)</t>
  </si>
  <si>
    <t>Элегазовый баковый выключатель, 000006005, 01.12.2017, Четвертая группа (свыше 5 лет до 7 лет включительно)</t>
  </si>
  <si>
    <t>Элегазовый трансформатор напряжения ЗНГА-5-110-II-ХЛ1, 000006006, 01.12.2017, Четвертая группа (свыше 5 лет до 7 лет включительно)</t>
  </si>
  <si>
    <t>Элегазовый трансформатор напряжения ЗНГА-5-110-II-ХЛ1, 000006007, 01.12.2017, Четвертая группа (свыше 5 лет до 7 лет включительно)</t>
  </si>
  <si>
    <t>Элегазовый трансформатор напряжения ЗНГА-5-110-II-ХЛ1, 000006008, 01.12.2017, Четвертая группа (свыше 5 лет до 7 лет включительно)</t>
  </si>
  <si>
    <t>Элегазовый трансформатор напряжения ЗНГА-5-110-II-ХЛ1, 000006009, 01.12.2017, Четвертая группа (свыше 5 лет до 7 лет включительно)</t>
  </si>
  <si>
    <t>Элегазовый трансформатор напряжения ЗНГА-5-110-II-ХЛ1, 000006010, 01.12.2017, Четвертая группа (свыше 5 лет до 7 лет включительно)</t>
  </si>
  <si>
    <t>Элегазовый трансформатор напряжения ЗНГА-5-110-II-ХЛ1, 000006011, 01.12.2017, Четвертая группа (свыше 5 лет до 7 лет включительно)</t>
  </si>
  <si>
    <t>Трансформаторная подстанция , 000006054, 01.10.2018, Десятая группа (свыше 30 лет)</t>
  </si>
  <si>
    <t>Расчет амортизационных отчислений на 2021 год по основным средствам АО "Электротехнический комплекс", находящимся на подстанциях</t>
  </si>
  <si>
    <t>Расчет амортизационных отчислений 
на восстановление основных производственных фондов на 2021 год</t>
  </si>
  <si>
    <t>Отчетный период 2019 год</t>
  </si>
  <si>
    <t>Базовый период 2020 год</t>
  </si>
  <si>
    <t>Период регулирования     2021 год</t>
  </si>
  <si>
    <t>Расчет АО "Электротехнический комплекс" на 2021 год, включаемых в цеховые расходы по передаче электрической энергии</t>
  </si>
  <si>
    <t>электропередач и подстанциям на 2021 г.</t>
  </si>
  <si>
    <t>Расчет суммы земельного налога  АО "Электротехнический комплекс", относимой на цеховые расходы по передаче электрической энергии, в 2021 г.</t>
  </si>
  <si>
    <t>Расчет транспортного налога АО "ЭТК" на 2021 г., включаемого в состав цеховых расходов по передаче электрической энергии</t>
  </si>
  <si>
    <t xml:space="preserve">Расчет транспортного налога АО "ЭТК" на 2021 г.,  включаемого в состав общехозяйственных расходов </t>
  </si>
  <si>
    <t>Расчет страховой премии по обязательному страхованию автогражданской ответственности транспортных средств АО "ЭТК" на 2021 год, включаемой в состав цеховых расходов по передаче электрической энергии</t>
  </si>
  <si>
    <t>Расчет страховой премии по обязательному страхованию автогражданской ответственности транспортных средств АО "ЭТК" на 2021 год, включаемой в состав общехозяйственных расходов</t>
  </si>
  <si>
    <t>Расчет земельного налога АО "ЭТК", относимого на общехозяйственные расходы на 2021 год</t>
  </si>
  <si>
    <t>Сводный расчет неподконтрольных расходов АО "ЭТК", включаемых в тарифы на 2021 год по передаче электрической энергии</t>
  </si>
  <si>
    <t>Аренда трансформаторной подстанции дог. с Муницип. Недвижимость № 1006/2019А от 11.06.2019 г. 3 330 руб/мес)</t>
  </si>
  <si>
    <t>Отчетный период
2019 год</t>
  </si>
  <si>
    <t>Период регулирования
2021 год</t>
  </si>
  <si>
    <t>Базовый период
2020 год</t>
  </si>
  <si>
    <t>Период регулирования 2021 год</t>
  </si>
  <si>
    <t>2020
(базовый уровень)</t>
  </si>
  <si>
    <t>Калькуляция расходов, связанных с передачей электроэнергии по сетям ОАО "Электротехнический комплекс" на 2020 - 2021 годы</t>
  </si>
  <si>
    <t>4.3</t>
  </si>
  <si>
    <t>сальдо перток</t>
  </si>
  <si>
    <t>сальдо переток в другие организации</t>
  </si>
  <si>
    <t>СН11 (Омскэлектро)</t>
  </si>
  <si>
    <t>от других поставщиков (в т.ч. с оптового рынка) (ТГКом)</t>
  </si>
  <si>
    <t>потребителям оптового рынка</t>
  </si>
  <si>
    <t>Сальдо переток на более низкие уровни напряжения в собственные сети</t>
  </si>
  <si>
    <t>Заявленная (расчетная) мощность потребителей оптового рынка</t>
  </si>
  <si>
    <t>От других поставщиков (в т.ч. с оптового рынка) (ТГКом)</t>
  </si>
  <si>
    <t>Таблица П1.6</t>
  </si>
  <si>
    <t>Структура полезного отпуска электрической энергии (мощности)</t>
  </si>
  <si>
    <t>по группам потребителей ЭСО</t>
  </si>
  <si>
    <t>Объем полезного отпуска электроэнергии, млн. кВт·ч</t>
  </si>
  <si>
    <t>Заявленная (расчетная) мощность, тыс. кВт</t>
  </si>
  <si>
    <t>Число часов использования, час</t>
  </si>
  <si>
    <t>Доля потребления на разных диапазонах напряжений, %</t>
  </si>
  <si>
    <t>2019 год</t>
  </si>
  <si>
    <t>Потребители ОАО "ЭТК"</t>
  </si>
  <si>
    <t>ООО "МАРЭМ"                                                        (в интересах ОАО "ОмскВодоканал)</t>
  </si>
  <si>
    <t>АО "Омскводоканал"</t>
  </si>
  <si>
    <t>ООО "РУСЭНЕРГОСБЫТ"</t>
  </si>
  <si>
    <t>Потребители гарантирующего поставщика</t>
  </si>
  <si>
    <t>1.5</t>
  </si>
  <si>
    <t>1.6</t>
  </si>
  <si>
    <t>ООО "Теплогенерирующий комплекс"</t>
  </si>
  <si>
    <t>1.7</t>
  </si>
  <si>
    <t>Прочие потребители на прямых договорах , всего</t>
  </si>
  <si>
    <t>1.8</t>
  </si>
  <si>
    <t xml:space="preserve">Переток в сети других смежных организаций, всего в том числе </t>
  </si>
  <si>
    <t>1.8.1</t>
  </si>
  <si>
    <t>ПАО "МРСК Сибири"</t>
  </si>
  <si>
    <t>1.8.2</t>
  </si>
  <si>
    <t>ИП Кацман В.В.</t>
  </si>
  <si>
    <t>1.8.3</t>
  </si>
  <si>
    <t>АО "Омскэлектро"</t>
  </si>
  <si>
    <t>1.8.4</t>
  </si>
  <si>
    <t>ООО "СибЭнерго"</t>
  </si>
  <si>
    <t>Производственные нужды</t>
  </si>
  <si>
    <t>Период регулирования 2021г.</t>
  </si>
  <si>
    <t>АО  "Омскэлектро"</t>
  </si>
  <si>
    <t>ООО "Сибэнерго"</t>
  </si>
  <si>
    <t>на 2021 год</t>
  </si>
  <si>
    <t>Воздушная кабельная линия 10 кВ  СИП-120 L-850м + ААБл2у 3*120 L-280м + ААБл 3*150 L-25м, 000006308, 01.09.2020, Четвертая группа (свыше 5 лет до 7 лет включительно)</t>
  </si>
  <si>
    <t>Воздушная кабельная линия 10 кВ СИП-З 1*120 L-1500м + 2ААБл 3*150 L-35м, 000006307, 01.09.2020, Четвертая группа (свыше 5 лет до 7 лет включительно)</t>
  </si>
  <si>
    <t>Воздушная кабельная линия СИП 2*16 L-32м, 000006298, 01.04.2020, Четвертая группа (свыше 5 лет до 7 лет включительно)</t>
  </si>
  <si>
    <t>Кабельная линия 10кВ ААБл 3*150 L-240м, 000006313, 01.09.2020, Шестая группа (свыше 10 лет до 15 лет включительно)</t>
  </si>
  <si>
    <t>Кабельная линия 10кВ ААБл 3*150 L-240м, 000006314, 01.09.2020, Шестая группа (свыше 10 лет до 15 лет включительно)</t>
  </si>
  <si>
    <t>Кабельная линия 10кВ ААБл 3*150 L-700м, 000006312, 01.09.2020, Шестая группа (свыше 10 лет до 15 лет включительно)</t>
  </si>
  <si>
    <t>Кабельная линия 10кВ ААБл 3*95 L-380м, 000006318, 01.09.2020, Шестая группа (свыше 10 лет до 15 лет включительно)</t>
  </si>
  <si>
    <t>Кабельная линия 10кВ ААБл 3*95 L-690м, 000006317, 01.09.2020, Шестая группа (свыше 10 лет до 15 лет включительно)</t>
  </si>
  <si>
    <t>Кабельная линия 10кВ ААБлУ 3*150 L-500м, 000006315, 01.09.2020, Шестая группа (свыше 10 лет до 15 лет включительно)</t>
  </si>
  <si>
    <t>Кабельная линия 10кВ ААБлУ 3*150 L-620м, 000006310, 01.09.2020, Шестая группа (свыше 10 лет до 15 лет включительно)</t>
  </si>
  <si>
    <t>Кабельная линия 10кВ ААБлУ 3*150 L-620м, 000006311, 01.09.2020, Шестая группа (свыше 10 лет до 15 лет включительно)</t>
  </si>
  <si>
    <t>Кабельная линия ААБ-10 кВ 3*50 L-10м, 000006294, 01.04.2020, Шестая группа (свыше 10 лет до 15 лет включительно)</t>
  </si>
  <si>
    <t>Кабельная линия ААБ-10 кВ 3*50 L-10м, 000006295, 01.04.2020, Шестая группа (свыше 10 лет до 15 лет включительно)</t>
  </si>
  <si>
    <t>Кабельная линия ААБ-10 кВ 3*50 L-60м, 000006296, 01.04.2020, Шестая группа (свыше 10 лет до 15 лет включительно)</t>
  </si>
  <si>
    <t>РУ-0,4кВ, 000006301, 01.04.2020, Седьмая группа (свыше 15 лет до 20 лет включительно)</t>
  </si>
  <si>
    <t>РУ-10 кВ, 000006302, 01.04.2020, Седьмая группа (свыше 15 лет до 20 лет включительно)</t>
  </si>
  <si>
    <t>Трансформатор ТМ-250 кВа 10/0,4 кВ, 000006299, 01.04.2020, Седьмая группа (свыше 15 лет до 20 лет включительно)</t>
  </si>
  <si>
    <t>Трансформатор ТМ-250 кВа 10/0,4 кВ, 000006300, 01.04.2020, Седьмая группа (свыше 15 лет до 20 лет включительно)</t>
  </si>
  <si>
    <t>Линейный разъединитель РВ-10/630, 000006303, 01.04.2020, Седьмая группа (свыше 15 лет до 20 лет включительно)</t>
  </si>
  <si>
    <t>Трансформаторная подстанция БКТП-2266 10/0,4 кВ 2ТМГ-1000 кВа, 000006326, 01.09.2020, Седьмая группа (свыше 15 лет до 20 лет включительно)</t>
  </si>
  <si>
    <t>Трансформаторная подстанция КТПГС-2232 10/0,4 кВ 2ТМГ-1000 кВа, 000006320, 01.09.2020, Седьмая группа (свыше 15 лет до 20 лет включительно)</t>
  </si>
  <si>
    <t>Трансформаторная подстанция КТПГС-2268 10/0,4 кВ 2ТМГ-630 кВа, 000006321, 01.09.2020, Седьмая группа (свыше 15 лет до 20 лет включительно)</t>
  </si>
  <si>
    <t>Трансформаторная подстанция КТПГС-2269 10/0,4 кВ 2ТМГ-630 кВа, 000006322, 01.09.2020, Седьмая группа (свыше 15 лет до 20 лет включительно)</t>
  </si>
  <si>
    <t>Трансформаторная подстанция КТПН-2233 10/0,4 кВ 2ТМГ-400 кВа, 000006323, 01.09.2020, Седьмая группа (свыше 15 лет до 20 лет включительно)</t>
  </si>
  <si>
    <t>Трансформаторная подстанция КТПН-2234 10/0,4 кВ 2ТМГ-630 кВа, 000006324, 01.09.2020, Седьмая группа (свыше 15 лет до 20 лет включительно)</t>
  </si>
  <si>
    <t>Трансформаторная подстанция КТПН-2235 10/0,4 кВ 2ТМГ-630 кВа, 000006325, 01.09.2020, Седьмая группа (свыше 15 лет до 20 лет включительно)</t>
  </si>
  <si>
    <t>Трансформаторная подстанция ТП-3190, 000006293, 01.04.2020, Десятая группа (свыше 30 лет)</t>
  </si>
  <si>
    <t>Генератор бензиновый ЗУБР 3ЭСБ-5500-ЭН</t>
  </si>
  <si>
    <t>Пресс гидралический для пробивки отверстий ШД-95А</t>
  </si>
  <si>
    <t>Расходы, отнесенные на передачу электрической энергии (п.10 табл.П.1.18.2.)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</si>
</sst>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0.0"/>
    <numFmt numFmtId="176" formatCode="#,##0.00_р_."/>
    <numFmt numFmtId="177" formatCode="#,##0.000_ ;\-#,##0.000\ "/>
    <numFmt numFmtId="178" formatCode="#,##0.000000"/>
    <numFmt numFmtId="179" formatCode="#,##0.0000"/>
    <numFmt numFmtId="180" formatCode="0.0000"/>
    <numFmt numFmtId="181" formatCode="0.000"/>
    <numFmt numFmtId="182" formatCode="0.0%"/>
    <numFmt numFmtId="183" formatCode="0.000%"/>
    <numFmt numFmtId="184" formatCode="#,##0.00;[Red]\-#,##0.00"/>
    <numFmt numFmtId="185" formatCode="0.00;[Red]\-0.00"/>
    <numFmt numFmtId="186" formatCode="#,##0.0000_ ;\-#,##0.0000\ "/>
    <numFmt numFmtId="187" formatCode="#,##0.00&quot;р.&quot;"/>
    <numFmt numFmtId="188" formatCode="0.000000"/>
    <numFmt numFmtId="189" formatCode="[$-FC19]d\ mmmm\ yyyy\ &quot;г.&quot;"/>
    <numFmt numFmtId="190" formatCode="#,##0.00_ ;[Red]\-#,##0.00\ "/>
    <numFmt numFmtId="191" formatCode="0.00000"/>
    <numFmt numFmtId="192" formatCode="0.0000000"/>
    <numFmt numFmtId="193" formatCode="0.00_ ;[Red]\-0.00\ "/>
  </numFmts>
  <fonts count="1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i/>
      <sz val="9"/>
      <name val="Times New Roman Cyr"/>
      <family val="0"/>
    </font>
    <font>
      <i/>
      <sz val="9"/>
      <name val="Times New Roman Cyr"/>
      <family val="1"/>
    </font>
    <font>
      <b/>
      <sz val="10"/>
      <name val="Times New Roman Cyr"/>
      <family val="1"/>
    </font>
    <font>
      <sz val="10"/>
      <name val="Arial"/>
      <family val="2"/>
    </font>
    <font>
      <b/>
      <i/>
      <sz val="10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 Cyr"/>
      <family val="1"/>
    </font>
    <font>
      <b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57"/>
      <name val="Times New Roman"/>
      <family val="1"/>
    </font>
    <font>
      <b/>
      <sz val="8"/>
      <name val="Times New Roman Cyr"/>
      <family val="0"/>
    </font>
    <font>
      <sz val="10"/>
      <color indexed="10"/>
      <name val="Times New Roman"/>
      <family val="1"/>
    </font>
    <font>
      <b/>
      <i/>
      <sz val="10"/>
      <color indexed="57"/>
      <name val="Times New Roman Cyr"/>
      <family val="1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9"/>
      <name val="Times New Roman"/>
      <family val="1"/>
    </font>
    <font>
      <sz val="10"/>
      <color indexed="10"/>
      <name val="Times New Roman Cyr"/>
      <family val="1"/>
    </font>
    <font>
      <sz val="10"/>
      <color indexed="12"/>
      <name val="Times New Roman Cyr"/>
      <family val="1"/>
    </font>
    <font>
      <i/>
      <sz val="10"/>
      <color indexed="10"/>
      <name val="Times New Roman Cyr"/>
      <family val="1"/>
    </font>
    <font>
      <i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50"/>
      <name val="Times New Roman Cyr"/>
      <family val="1"/>
    </font>
    <font>
      <b/>
      <sz val="10"/>
      <color indexed="10"/>
      <name val="Times New Roman Cyr"/>
      <family val="1"/>
    </font>
    <font>
      <sz val="14"/>
      <name val="Arial Cyr"/>
      <family val="0"/>
    </font>
    <font>
      <b/>
      <sz val="9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10"/>
      <color indexed="17"/>
      <name val="Times New Roman Cyr"/>
      <family val="1"/>
    </font>
    <font>
      <sz val="12"/>
      <color indexed="12"/>
      <name val="Times New Roman Cyr"/>
      <family val="1"/>
    </font>
    <font>
      <sz val="12"/>
      <color indexed="36"/>
      <name val="Times New Roman"/>
      <family val="1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i/>
      <sz val="10"/>
      <color indexed="12"/>
      <name val="Times New Roman Cyr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22"/>
      <name val="Times New Roman"/>
      <family val="1"/>
    </font>
    <font>
      <b/>
      <sz val="14"/>
      <color indexed="10"/>
      <name val="Arial Cyr"/>
      <family val="0"/>
    </font>
    <font>
      <sz val="14"/>
      <color indexed="55"/>
      <name val="Times New Roman"/>
      <family val="1"/>
    </font>
    <font>
      <sz val="14"/>
      <color indexed="12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0"/>
      <color rgb="FF00B050"/>
      <name val="Times New Roman Cyr"/>
      <family val="1"/>
    </font>
    <font>
      <sz val="12"/>
      <color rgb="FF0000CC"/>
      <name val="Times New Roman Cyr"/>
      <family val="1"/>
    </font>
    <font>
      <sz val="12"/>
      <color rgb="FF7030A0"/>
      <name val="Times New Roman"/>
      <family val="1"/>
    </font>
    <font>
      <sz val="9"/>
      <color rgb="FF7030A0"/>
      <name val="Times New Roman"/>
      <family val="1"/>
    </font>
    <font>
      <b/>
      <sz val="9"/>
      <color rgb="FF7030A0"/>
      <name val="Times New Roman"/>
      <family val="1"/>
    </font>
    <font>
      <sz val="10"/>
      <color rgb="FF0000CC"/>
      <name val="Times New Roman Cyr"/>
      <family val="1"/>
    </font>
    <font>
      <i/>
      <sz val="10"/>
      <color rgb="FF0000CC"/>
      <name val="Times New Roman Cyr"/>
      <family val="1"/>
    </font>
    <font>
      <sz val="10"/>
      <color rgb="FFFF0000"/>
      <name val="Times New Roman Cyr"/>
      <family val="1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  <font>
      <sz val="14"/>
      <color theme="0" tint="-0.1499900072813034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sz val="14"/>
      <color theme="0" tint="-0.3499799966812134"/>
      <name val="Times New Roman"/>
      <family val="1"/>
    </font>
    <font>
      <sz val="14"/>
      <color rgb="FF0000CC"/>
      <name val="Arial Cyr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50" fillId="0" borderId="6" applyBorder="0">
      <alignment horizontal="center" vertical="center" wrapText="1"/>
      <protection/>
    </xf>
    <xf numFmtId="0" fontId="96" fillId="0" borderId="7" applyNumberFormat="0" applyFill="0" applyAlignment="0" applyProtection="0"/>
    <xf numFmtId="0" fontId="97" fillId="28" borderId="8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8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102" fillId="0" borderId="10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3" fillId="32" borderId="0" applyBorder="0">
      <alignment horizontal="right"/>
      <protection/>
    </xf>
    <xf numFmtId="4" fontId="53" fillId="32" borderId="0" applyBorder="0">
      <alignment horizontal="right"/>
      <protection/>
    </xf>
    <xf numFmtId="0" fontId="104" fillId="33" borderId="0" applyNumberFormat="0" applyBorder="0" applyAlignment="0" applyProtection="0"/>
  </cellStyleXfs>
  <cellXfs count="1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71" fontId="1" fillId="0" borderId="11" xfId="78" applyFont="1" applyBorder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6" fillId="0" borderId="0" xfId="70" applyFont="1" applyAlignment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0" xfId="66" applyFont="1" applyBorder="1" applyAlignment="1">
      <alignment horizontal="center" vertical="center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9" fillId="0" borderId="0" xfId="70" applyFont="1" applyAlignment="1">
      <alignment horizontal="right" vertical="center" wrapText="1"/>
      <protection/>
    </xf>
    <xf numFmtId="0" fontId="14" fillId="0" borderId="11" xfId="70" applyFont="1" applyFill="1" applyBorder="1" applyAlignment="1">
      <alignment horizontal="center" vertical="center" wrapText="1"/>
      <protection/>
    </xf>
    <xf numFmtId="0" fontId="14" fillId="0" borderId="11" xfId="70" applyFont="1" applyBorder="1" applyAlignment="1">
      <alignment horizontal="center" vertical="center" wrapText="1"/>
      <protection/>
    </xf>
    <xf numFmtId="0" fontId="14" fillId="0" borderId="0" xfId="7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70" applyFont="1" applyAlignment="1">
      <alignment horizontal="right" vertical="center" wrapText="1"/>
      <protection/>
    </xf>
    <xf numFmtId="0" fontId="12" fillId="0" borderId="0" xfId="66" applyFont="1" applyBorder="1" applyAlignment="1">
      <alignment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71" fontId="13" fillId="0" borderId="11" xfId="78" applyFont="1" applyBorder="1" applyAlignment="1">
      <alignment horizontal="center"/>
    </xf>
    <xf numFmtId="171" fontId="13" fillId="0" borderId="11" xfId="78" applyFont="1" applyBorder="1" applyAlignment="1">
      <alignment/>
    </xf>
    <xf numFmtId="0" fontId="13" fillId="0" borderId="0" xfId="66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71" fontId="12" fillId="0" borderId="11" xfId="78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4" fillId="0" borderId="0" xfId="70" applyFont="1" applyAlignment="1">
      <alignment horizontal="right" vertical="center" wrapText="1"/>
      <protection/>
    </xf>
    <xf numFmtId="0" fontId="19" fillId="0" borderId="0" xfId="0" applyFont="1" applyAlignment="1">
      <alignment horizontal="center" wrapText="1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3" fillId="0" borderId="14" xfId="66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0" borderId="11" xfId="66" applyFont="1" applyFill="1" applyBorder="1" applyAlignment="1">
      <alignment vertical="top" wrapText="1"/>
      <protection/>
    </xf>
    <xf numFmtId="0" fontId="13" fillId="0" borderId="11" xfId="66" applyFont="1" applyFill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34" borderId="11" xfId="66" applyFont="1" applyFill="1" applyBorder="1" applyAlignment="1">
      <alignment horizontal="left" vertical="top" wrapText="1"/>
      <protection/>
    </xf>
    <xf numFmtId="0" fontId="10" fillId="0" borderId="15" xfId="0" applyFont="1" applyBorder="1" applyAlignment="1">
      <alignment wrapText="1"/>
    </xf>
    <xf numFmtId="171" fontId="1" fillId="0" borderId="15" xfId="78" applyFont="1" applyBorder="1" applyAlignment="1">
      <alignment vertical="center"/>
    </xf>
    <xf numFmtId="171" fontId="1" fillId="0" borderId="0" xfId="78" applyFont="1" applyBorder="1" applyAlignment="1">
      <alignment vertical="center"/>
    </xf>
    <xf numFmtId="171" fontId="1" fillId="0" borderId="16" xfId="78" applyFont="1" applyBorder="1" applyAlignment="1">
      <alignment vertical="top" wrapText="1"/>
    </xf>
    <xf numFmtId="0" fontId="10" fillId="0" borderId="0" xfId="0" applyFont="1" applyAlignment="1">
      <alignment wrapText="1"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4" xfId="66" applyFont="1" applyBorder="1" applyAlignment="1">
      <alignment horizontal="center" wrapText="1"/>
      <protection/>
    </xf>
    <xf numFmtId="171" fontId="13" fillId="0" borderId="19" xfId="78" applyFont="1" applyBorder="1" applyAlignment="1">
      <alignment/>
    </xf>
    <xf numFmtId="0" fontId="13" fillId="0" borderId="0" xfId="66" applyFont="1" applyBorder="1" applyAlignment="1">
      <alignment wrapText="1"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171" fontId="12" fillId="0" borderId="21" xfId="78" applyFont="1" applyBorder="1" applyAlignment="1">
      <alignment horizontal="center"/>
    </xf>
    <xf numFmtId="0" fontId="1" fillId="0" borderId="0" xfId="0" applyFont="1" applyAlignment="1">
      <alignment wrapText="1"/>
    </xf>
    <xf numFmtId="17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9" fillId="0" borderId="0" xfId="70" applyFont="1" applyAlignment="1">
      <alignment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70" applyFont="1" applyFill="1" applyBorder="1" applyAlignment="1">
      <alignment horizontal="left" vertical="center" wrapText="1"/>
      <protection/>
    </xf>
    <xf numFmtId="0" fontId="13" fillId="0" borderId="11" xfId="66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1" fillId="0" borderId="11" xfId="78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3" fillId="34" borderId="0" xfId="66" applyFont="1" applyFill="1" applyBorder="1" applyAlignment="1">
      <alignment horizontal="left" vertical="top" wrapText="1"/>
      <protection/>
    </xf>
    <xf numFmtId="4" fontId="2" fillId="0" borderId="0" xfId="0" applyNumberFormat="1" applyFont="1" applyAlignment="1">
      <alignment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34" borderId="11" xfId="66" applyFont="1" applyFill="1" applyBorder="1" applyAlignment="1">
      <alignment horizontal="left" vertical="top" wrapText="1"/>
      <protection/>
    </xf>
    <xf numFmtId="0" fontId="10" fillId="0" borderId="24" xfId="66" applyFont="1" applyBorder="1" applyAlignment="1">
      <alignment horizontal="center" vertical="center" wrapText="1"/>
      <protection/>
    </xf>
    <xf numFmtId="4" fontId="2" fillId="34" borderId="0" xfId="0" applyNumberFormat="1" applyFont="1" applyFill="1" applyAlignment="1">
      <alignment vertical="center" wrapText="1"/>
    </xf>
    <xf numFmtId="4" fontId="2" fillId="0" borderId="0" xfId="78" applyNumberFormat="1" applyFont="1" applyAlignment="1">
      <alignment/>
    </xf>
    <xf numFmtId="4" fontId="1" fillId="0" borderId="0" xfId="78" applyNumberFormat="1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74" fontId="1" fillId="0" borderId="11" xfId="78" applyNumberFormat="1" applyFont="1" applyFill="1" applyBorder="1" applyAlignment="1">
      <alignment horizontal="center" vertical="center"/>
    </xf>
    <xf numFmtId="174" fontId="13" fillId="0" borderId="11" xfId="78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 indent="2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left" vertical="top" wrapText="1" indent="4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Continuous" vertical="top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3" fillId="0" borderId="25" xfId="66" applyFont="1" applyBorder="1" applyAlignment="1">
      <alignment horizontal="center" wrapText="1"/>
      <protection/>
    </xf>
    <xf numFmtId="0" fontId="13" fillId="0" borderId="22" xfId="0" applyFont="1" applyBorder="1" applyAlignment="1">
      <alignment horizontal="center"/>
    </xf>
    <xf numFmtId="0" fontId="20" fillId="0" borderId="6" xfId="66" applyFont="1" applyBorder="1" applyAlignment="1">
      <alignment horizontal="center" vertical="center" wrapText="1"/>
      <protection/>
    </xf>
    <xf numFmtId="0" fontId="20" fillId="0" borderId="24" xfId="66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6" xfId="66" applyFont="1" applyBorder="1" applyAlignment="1">
      <alignment horizontal="center" vertical="center" wrapText="1"/>
      <protection/>
    </xf>
    <xf numFmtId="0" fontId="20" fillId="0" borderId="27" xfId="66" applyFont="1" applyBorder="1" applyAlignment="1">
      <alignment horizontal="center" vertical="center" wrapText="1"/>
      <protection/>
    </xf>
    <xf numFmtId="0" fontId="20" fillId="0" borderId="12" xfId="66" applyFont="1" applyBorder="1" applyAlignment="1">
      <alignment horizontal="center" wrapText="1"/>
      <protection/>
    </xf>
    <xf numFmtId="0" fontId="20" fillId="0" borderId="12" xfId="66" applyFont="1" applyBorder="1" applyAlignment="1">
      <alignment horizontal="center" vertical="center" wrapText="1"/>
      <protection/>
    </xf>
    <xf numFmtId="171" fontId="20" fillId="0" borderId="12" xfId="78" applyFont="1" applyBorder="1" applyAlignment="1">
      <alignment horizontal="center"/>
    </xf>
    <xf numFmtId="171" fontId="20" fillId="0" borderId="12" xfId="78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/>
    </xf>
    <xf numFmtId="0" fontId="14" fillId="0" borderId="22" xfId="70" applyFont="1" applyFill="1" applyBorder="1" applyAlignment="1">
      <alignment horizontal="left" vertical="center" wrapText="1"/>
      <protection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74" fontId="13" fillId="0" borderId="11" xfId="78" applyNumberFormat="1" applyFont="1" applyFill="1" applyBorder="1" applyAlignment="1">
      <alignment horizontal="center" vertical="center" wrapText="1"/>
    </xf>
    <xf numFmtId="0" fontId="13" fillId="0" borderId="20" xfId="66" applyFont="1" applyBorder="1" applyAlignment="1">
      <alignment horizontal="center" vertical="center" wrapText="1"/>
      <protection/>
    </xf>
    <xf numFmtId="171" fontId="30" fillId="0" borderId="11" xfId="78" applyFont="1" applyBorder="1" applyAlignment="1">
      <alignment/>
    </xf>
    <xf numFmtId="4" fontId="29" fillId="0" borderId="11" xfId="0" applyNumberFormat="1" applyFont="1" applyFill="1" applyBorder="1" applyAlignment="1">
      <alignment horizontal="center" vertical="center"/>
    </xf>
    <xf numFmtId="171" fontId="30" fillId="0" borderId="29" xfId="78" applyFont="1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22" fillId="0" borderId="11" xfId="62" applyNumberFormat="1" applyFont="1" applyBorder="1" applyAlignment="1">
      <alignment horizontal="left" vertical="top" wrapText="1" indent="4"/>
      <protection/>
    </xf>
    <xf numFmtId="0" fontId="10" fillId="0" borderId="6" xfId="66" applyFont="1" applyBorder="1" applyAlignment="1">
      <alignment horizontal="center" vertical="center" wrapText="1"/>
      <protection/>
    </xf>
    <xf numFmtId="0" fontId="28" fillId="0" borderId="24" xfId="70" applyFont="1" applyBorder="1" applyAlignment="1">
      <alignment horizontal="center" vertical="center" wrapText="1"/>
      <protection/>
    </xf>
    <xf numFmtId="0" fontId="10" fillId="0" borderId="31" xfId="66" applyFont="1" applyBorder="1" applyAlignment="1">
      <alignment horizontal="center" vertical="center" wrapText="1"/>
      <protection/>
    </xf>
    <xf numFmtId="0" fontId="10" fillId="0" borderId="32" xfId="66" applyFont="1" applyBorder="1" applyAlignment="1">
      <alignment vertical="center" wrapText="1"/>
      <protection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2" fontId="13" fillId="0" borderId="11" xfId="0" applyNumberFormat="1" applyFont="1" applyBorder="1" applyAlignment="1">
      <alignment horizontal="center"/>
    </xf>
    <xf numFmtId="0" fontId="13" fillId="0" borderId="27" xfId="66" applyFont="1" applyBorder="1" applyAlignment="1">
      <alignment horizontal="center" vertical="center" wrapText="1"/>
      <protection/>
    </xf>
    <xf numFmtId="0" fontId="14" fillId="0" borderId="12" xfId="70" applyFont="1" applyFill="1" applyBorder="1" applyAlignment="1">
      <alignment horizontal="center" vertical="center" wrapText="1"/>
      <protection/>
    </xf>
    <xf numFmtId="0" fontId="14" fillId="0" borderId="12" xfId="70" applyFont="1" applyBorder="1" applyAlignment="1">
      <alignment horizontal="center" vertical="center" wrapText="1"/>
      <protection/>
    </xf>
    <xf numFmtId="2" fontId="13" fillId="0" borderId="12" xfId="0" applyNumberFormat="1" applyFont="1" applyBorder="1" applyAlignment="1">
      <alignment horizontal="center"/>
    </xf>
    <xf numFmtId="4" fontId="13" fillId="0" borderId="28" xfId="66" applyNumberFormat="1" applyFont="1" applyBorder="1" applyAlignment="1">
      <alignment horizontal="center" vertical="center" wrapText="1"/>
      <protection/>
    </xf>
    <xf numFmtId="4" fontId="13" fillId="0" borderId="19" xfId="66" applyNumberFormat="1" applyFont="1" applyBorder="1" applyAlignment="1">
      <alignment horizontal="center" vertical="center" wrapText="1"/>
      <protection/>
    </xf>
    <xf numFmtId="0" fontId="14" fillId="0" borderId="21" xfId="70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2" fontId="13" fillId="0" borderId="21" xfId="0" applyNumberFormat="1" applyFont="1" applyBorder="1" applyAlignment="1">
      <alignment horizontal="center"/>
    </xf>
    <xf numFmtId="4" fontId="13" fillId="0" borderId="29" xfId="66" applyNumberFormat="1" applyFont="1" applyBorder="1" applyAlignment="1">
      <alignment horizontal="center" vertical="center" wrapText="1"/>
      <protection/>
    </xf>
    <xf numFmtId="0" fontId="14" fillId="0" borderId="12" xfId="70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5" borderId="11" xfId="0" applyFont="1" applyFill="1" applyBorder="1" applyAlignment="1">
      <alignment horizontal="left" wrapText="1"/>
    </xf>
    <xf numFmtId="0" fontId="26" fillId="0" borderId="0" xfId="69" applyFont="1" applyAlignment="1">
      <alignment horizontal="justify"/>
      <protection/>
    </xf>
    <xf numFmtId="0" fontId="26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/>
    </xf>
    <xf numFmtId="0" fontId="105" fillId="0" borderId="0" xfId="0" applyFont="1" applyAlignment="1">
      <alignment/>
    </xf>
    <xf numFmtId="0" fontId="10" fillId="0" borderId="27" xfId="0" applyFont="1" applyBorder="1" applyAlignment="1">
      <alignment horizontal="center" vertical="center"/>
    </xf>
    <xf numFmtId="0" fontId="13" fillId="34" borderId="16" xfId="66" applyFont="1" applyFill="1" applyBorder="1" applyAlignment="1">
      <alignment horizontal="left" vertical="center" wrapText="1"/>
      <protection/>
    </xf>
    <xf numFmtId="0" fontId="13" fillId="0" borderId="11" xfId="66" applyFont="1" applyFill="1" applyBorder="1" applyAlignment="1">
      <alignment horizontal="left" vertical="top" wrapText="1" indent="2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13" fillId="0" borderId="11" xfId="66" applyFont="1" applyFill="1" applyBorder="1" applyAlignment="1">
      <alignment horizontal="left" vertical="center" wrapText="1" indent="2"/>
      <protection/>
    </xf>
    <xf numFmtId="0" fontId="13" fillId="0" borderId="11" xfId="66" applyFont="1" applyFill="1" applyBorder="1" applyAlignment="1">
      <alignment horizontal="left" vertical="top" wrapText="1" indent="2"/>
      <protection/>
    </xf>
    <xf numFmtId="174" fontId="2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4" fontId="13" fillId="0" borderId="34" xfId="78" applyNumberFormat="1" applyFont="1" applyFill="1" applyBorder="1" applyAlignment="1">
      <alignment horizontal="center" vertical="center" wrapText="1"/>
    </xf>
    <xf numFmtId="171" fontId="106" fillId="0" borderId="18" xfId="78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1" xfId="65" applyNumberFormat="1" applyFont="1" applyBorder="1" applyAlignment="1">
      <alignment horizontal="left" vertical="top" wrapText="1"/>
      <protection/>
    </xf>
    <xf numFmtId="4" fontId="1" fillId="0" borderId="11" xfId="65" applyNumberFormat="1" applyFont="1" applyBorder="1" applyAlignment="1">
      <alignment horizontal="center" vertical="center" wrapText="1"/>
      <protection/>
    </xf>
    <xf numFmtId="4" fontId="2" fillId="0" borderId="11" xfId="65" applyNumberFormat="1" applyFont="1" applyBorder="1" applyAlignment="1">
      <alignment horizontal="center" vertical="center" wrapText="1"/>
      <protection/>
    </xf>
    <xf numFmtId="0" fontId="1" fillId="0" borderId="11" xfId="65" applyNumberFormat="1" applyFont="1" applyBorder="1" applyAlignment="1">
      <alignment horizontal="left" vertical="top" wrapText="1"/>
      <protection/>
    </xf>
    <xf numFmtId="0" fontId="1" fillId="0" borderId="11" xfId="63" applyNumberFormat="1" applyFont="1" applyBorder="1" applyAlignment="1">
      <alignment horizontal="left" vertical="top" wrapText="1"/>
      <protection/>
    </xf>
    <xf numFmtId="4" fontId="1" fillId="0" borderId="11" xfId="78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4" fontId="1" fillId="0" borderId="11" xfId="78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22" fillId="0" borderId="11" xfId="63" applyNumberFormat="1" applyFont="1" applyBorder="1" applyAlignment="1">
      <alignment vertical="top" wrapText="1"/>
      <protection/>
    </xf>
    <xf numFmtId="0" fontId="14" fillId="0" borderId="22" xfId="70" applyFont="1" applyFill="1" applyBorder="1" applyAlignment="1">
      <alignment horizontal="center" vertical="center" wrapText="1"/>
      <protection/>
    </xf>
    <xf numFmtId="171" fontId="13" fillId="0" borderId="22" xfId="78" applyFont="1" applyBorder="1" applyAlignment="1">
      <alignment horizontal="center"/>
    </xf>
    <xf numFmtId="171" fontId="13" fillId="0" borderId="35" xfId="78" applyFont="1" applyBorder="1" applyAlignment="1">
      <alignment/>
    </xf>
    <xf numFmtId="0" fontId="20" fillId="0" borderId="36" xfId="66" applyFont="1" applyBorder="1" applyAlignment="1">
      <alignment horizontal="center" vertical="center" wrapText="1"/>
      <protection/>
    </xf>
    <xf numFmtId="0" fontId="14" fillId="0" borderId="16" xfId="70" applyFont="1" applyFill="1" applyBorder="1" applyAlignment="1">
      <alignment horizontal="left" vertical="center" wrapText="1"/>
      <protection/>
    </xf>
    <xf numFmtId="0" fontId="20" fillId="0" borderId="16" xfId="66" applyFont="1" applyBorder="1" applyAlignment="1">
      <alignment horizontal="center" wrapText="1"/>
      <protection/>
    </xf>
    <xf numFmtId="0" fontId="20" fillId="0" borderId="16" xfId="66" applyFont="1" applyBorder="1" applyAlignment="1">
      <alignment horizontal="center" vertical="center" wrapText="1"/>
      <protection/>
    </xf>
    <xf numFmtId="171" fontId="20" fillId="0" borderId="16" xfId="78" applyFont="1" applyBorder="1" applyAlignment="1">
      <alignment horizontal="center"/>
    </xf>
    <xf numFmtId="171" fontId="20" fillId="0" borderId="16" xfId="78" applyFont="1" applyBorder="1" applyAlignment="1">
      <alignment horizontal="center" vertical="center" wrapText="1"/>
    </xf>
    <xf numFmtId="0" fontId="20" fillId="0" borderId="14" xfId="66" applyFont="1" applyBorder="1" applyAlignment="1">
      <alignment horizontal="center" vertical="center" wrapText="1"/>
      <protection/>
    </xf>
    <xf numFmtId="0" fontId="20" fillId="0" borderId="11" xfId="66" applyFont="1" applyBorder="1" applyAlignment="1">
      <alignment horizontal="center" wrapText="1"/>
      <protection/>
    </xf>
    <xf numFmtId="0" fontId="20" fillId="0" borderId="11" xfId="66" applyFont="1" applyBorder="1" applyAlignment="1">
      <alignment horizontal="center" vertical="center" wrapText="1"/>
      <protection/>
    </xf>
    <xf numFmtId="171" fontId="20" fillId="0" borderId="11" xfId="78" applyFont="1" applyBorder="1" applyAlignment="1">
      <alignment horizontal="center"/>
    </xf>
    <xf numFmtId="171" fontId="20" fillId="0" borderId="11" xfId="78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/>
    </xf>
    <xf numFmtId="0" fontId="17" fillId="0" borderId="0" xfId="0" applyFont="1" applyAlignment="1">
      <alignment wrapText="1"/>
    </xf>
    <xf numFmtId="4" fontId="1" fillId="0" borderId="0" xfId="0" applyNumberFormat="1" applyFont="1" applyAlignment="1">
      <alignment horizontal="center"/>
    </xf>
    <xf numFmtId="0" fontId="32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71" fontId="1" fillId="0" borderId="11" xfId="0" applyNumberFormat="1" applyFont="1" applyBorder="1" applyAlignment="1">
      <alignment vertical="top" wrapText="1"/>
    </xf>
    <xf numFmtId="171" fontId="1" fillId="0" borderId="19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 indent="1"/>
    </xf>
    <xf numFmtId="171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1" fontId="4" fillId="0" borderId="19" xfId="0" applyNumberFormat="1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71" fontId="1" fillId="0" borderId="11" xfId="78" applyFont="1" applyBorder="1" applyAlignment="1">
      <alignment vertical="top" wrapText="1"/>
    </xf>
    <xf numFmtId="171" fontId="1" fillId="0" borderId="19" xfId="78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71" fontId="1" fillId="0" borderId="21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71" fontId="1" fillId="0" borderId="29" xfId="0" applyNumberFormat="1" applyFont="1" applyBorder="1" applyAlignment="1">
      <alignment vertical="top" wrapText="1"/>
    </xf>
    <xf numFmtId="171" fontId="1" fillId="0" borderId="12" xfId="0" applyNumberFormat="1" applyFont="1" applyBorder="1" applyAlignment="1">
      <alignment vertical="top" wrapText="1"/>
    </xf>
    <xf numFmtId="171" fontId="1" fillId="0" borderId="28" xfId="0" applyNumberFormat="1" applyFont="1" applyBorder="1" applyAlignment="1">
      <alignment vertical="top" wrapText="1"/>
    </xf>
    <xf numFmtId="0" fontId="33" fillId="0" borderId="0" xfId="0" applyFont="1" applyAlignment="1">
      <alignment/>
    </xf>
    <xf numFmtId="43" fontId="1" fillId="0" borderId="0" xfId="0" applyNumberFormat="1" applyFont="1" applyAlignment="1">
      <alignment/>
    </xf>
    <xf numFmtId="171" fontId="2" fillId="0" borderId="11" xfId="78" applyFont="1" applyBorder="1" applyAlignment="1">
      <alignment horizontal="center"/>
    </xf>
    <xf numFmtId="171" fontId="27" fillId="0" borderId="11" xfId="78" applyFont="1" applyBorder="1" applyAlignment="1">
      <alignment horizontal="center"/>
    </xf>
    <xf numFmtId="0" fontId="32" fillId="0" borderId="0" xfId="58" applyFont="1">
      <alignment/>
      <protection/>
    </xf>
    <xf numFmtId="0" fontId="7" fillId="0" borderId="0" xfId="58" applyFont="1">
      <alignment/>
      <protection/>
    </xf>
    <xf numFmtId="49" fontId="32" fillId="32" borderId="0" xfId="58" applyNumberFormat="1" applyFont="1" applyFill="1" applyAlignment="1">
      <alignment vertical="center" wrapText="1"/>
      <protection/>
    </xf>
    <xf numFmtId="49" fontId="32" fillId="32" borderId="14" xfId="58" applyNumberFormat="1" applyFont="1" applyFill="1" applyBorder="1" applyAlignment="1">
      <alignment horizontal="center" vertical="center" wrapText="1"/>
      <protection/>
    </xf>
    <xf numFmtId="49" fontId="32" fillId="32" borderId="11" xfId="58" applyNumberFormat="1" applyFont="1" applyFill="1" applyBorder="1" applyAlignment="1">
      <alignment horizontal="center" vertical="center" wrapText="1"/>
      <protection/>
    </xf>
    <xf numFmtId="49" fontId="32" fillId="32" borderId="19" xfId="58" applyNumberFormat="1" applyFont="1" applyFill="1" applyBorder="1" applyAlignment="1">
      <alignment horizontal="center" vertical="center" wrapText="1"/>
      <protection/>
    </xf>
    <xf numFmtId="49" fontId="32" fillId="32" borderId="37" xfId="58" applyNumberFormat="1" applyFont="1" applyFill="1" applyBorder="1" applyAlignment="1">
      <alignment horizontal="center" vertical="center" wrapText="1"/>
      <protection/>
    </xf>
    <xf numFmtId="49" fontId="32" fillId="32" borderId="38" xfId="58" applyNumberFormat="1" applyFont="1" applyFill="1" applyBorder="1" applyAlignment="1">
      <alignment horizontal="center" vertical="center" wrapText="1"/>
      <protection/>
    </xf>
    <xf numFmtId="0" fontId="32" fillId="32" borderId="20" xfId="58" applyFont="1" applyFill="1" applyBorder="1" applyAlignment="1">
      <alignment horizontal="center"/>
      <protection/>
    </xf>
    <xf numFmtId="0" fontId="32" fillId="32" borderId="39" xfId="58" applyFont="1" applyFill="1" applyBorder="1" applyAlignment="1">
      <alignment horizontal="center"/>
      <protection/>
    </xf>
    <xf numFmtId="0" fontId="32" fillId="32" borderId="21" xfId="58" applyFont="1" applyFill="1" applyBorder="1" applyAlignment="1">
      <alignment horizontal="center"/>
      <protection/>
    </xf>
    <xf numFmtId="0" fontId="32" fillId="32" borderId="29" xfId="58" applyFont="1" applyFill="1" applyBorder="1" applyAlignment="1">
      <alignment horizontal="center"/>
      <protection/>
    </xf>
    <xf numFmtId="0" fontId="32" fillId="32" borderId="40" xfId="58" applyFont="1" applyFill="1" applyBorder="1" applyAlignment="1">
      <alignment horizontal="center"/>
      <protection/>
    </xf>
    <xf numFmtId="0" fontId="32" fillId="32" borderId="0" xfId="58" applyFont="1" applyFill="1">
      <alignment/>
      <protection/>
    </xf>
    <xf numFmtId="49" fontId="32" fillId="35" borderId="30" xfId="58" applyNumberFormat="1" applyFont="1" applyFill="1" applyBorder="1" applyAlignment="1">
      <alignment horizontal="center" vertical="top"/>
      <protection/>
    </xf>
    <xf numFmtId="0" fontId="32" fillId="35" borderId="41" xfId="58" applyFont="1" applyFill="1" applyBorder="1" applyAlignment="1">
      <alignment horizontal="left"/>
      <protection/>
    </xf>
    <xf numFmtId="0" fontId="32" fillId="35" borderId="42" xfId="58" applyFont="1" applyFill="1" applyBorder="1" applyAlignment="1">
      <alignment horizontal="left" wrapText="1"/>
      <protection/>
    </xf>
    <xf numFmtId="0" fontId="32" fillId="0" borderId="42" xfId="58" applyFont="1" applyBorder="1" applyAlignment="1">
      <alignment horizontal="left"/>
      <protection/>
    </xf>
    <xf numFmtId="181" fontId="32" fillId="0" borderId="30" xfId="58" applyNumberFormat="1" applyFont="1" applyBorder="1" applyAlignment="1">
      <alignment horizontal="center"/>
      <protection/>
    </xf>
    <xf numFmtId="181" fontId="32" fillId="0" borderId="23" xfId="58" applyNumberFormat="1" applyFont="1" applyBorder="1" applyAlignment="1">
      <alignment horizontal="center"/>
      <protection/>
    </xf>
    <xf numFmtId="181" fontId="32" fillId="0" borderId="43" xfId="58" applyNumberFormat="1" applyFont="1" applyBorder="1" applyAlignment="1">
      <alignment horizontal="center"/>
      <protection/>
    </xf>
    <xf numFmtId="49" fontId="32" fillId="35" borderId="14" xfId="58" applyNumberFormat="1" applyFont="1" applyFill="1" applyBorder="1" applyAlignment="1">
      <alignment horizontal="center"/>
      <protection/>
    </xf>
    <xf numFmtId="0" fontId="32" fillId="35" borderId="38" xfId="58" applyFont="1" applyFill="1" applyBorder="1" applyAlignment="1">
      <alignment horizontal="left"/>
      <protection/>
    </xf>
    <xf numFmtId="0" fontId="32" fillId="35" borderId="44" xfId="58" applyFont="1" applyFill="1" applyBorder="1" applyAlignment="1">
      <alignment horizontal="left" wrapText="1"/>
      <protection/>
    </xf>
    <xf numFmtId="0" fontId="32" fillId="0" borderId="44" xfId="58" applyFont="1" applyBorder="1" applyAlignment="1">
      <alignment horizontal="left"/>
      <protection/>
    </xf>
    <xf numFmtId="181" fontId="32" fillId="0" borderId="14" xfId="58" applyNumberFormat="1" applyFont="1" applyBorder="1" applyAlignment="1">
      <alignment horizontal="center"/>
      <protection/>
    </xf>
    <xf numFmtId="181" fontId="32" fillId="0" borderId="11" xfId="58" applyNumberFormat="1" applyFont="1" applyBorder="1" applyAlignment="1">
      <alignment horizontal="center"/>
      <protection/>
    </xf>
    <xf numFmtId="181" fontId="32" fillId="0" borderId="19" xfId="58" applyNumberFormat="1" applyFont="1" applyBorder="1" applyAlignment="1">
      <alignment horizontal="center"/>
      <protection/>
    </xf>
    <xf numFmtId="49" fontId="32" fillId="35" borderId="14" xfId="58" applyNumberFormat="1" applyFont="1" applyFill="1" applyBorder="1" applyAlignment="1">
      <alignment horizontal="center" vertical="top"/>
      <protection/>
    </xf>
    <xf numFmtId="10" fontId="32" fillId="0" borderId="14" xfId="74" applyNumberFormat="1" applyFont="1" applyBorder="1" applyAlignment="1">
      <alignment horizontal="center"/>
    </xf>
    <xf numFmtId="10" fontId="32" fillId="0" borderId="11" xfId="74" applyNumberFormat="1" applyFont="1" applyBorder="1" applyAlignment="1">
      <alignment horizontal="center"/>
    </xf>
    <xf numFmtId="10" fontId="32" fillId="0" borderId="19" xfId="74" applyNumberFormat="1" applyFont="1" applyBorder="1" applyAlignment="1">
      <alignment horizontal="center"/>
    </xf>
    <xf numFmtId="49" fontId="32" fillId="35" borderId="25" xfId="58" applyNumberFormat="1" applyFont="1" applyFill="1" applyBorder="1" applyAlignment="1">
      <alignment horizontal="center"/>
      <protection/>
    </xf>
    <xf numFmtId="0" fontId="32" fillId="35" borderId="45" xfId="58" applyFont="1" applyFill="1" applyBorder="1">
      <alignment/>
      <protection/>
    </xf>
    <xf numFmtId="0" fontId="32" fillId="35" borderId="46" xfId="58" applyFont="1" applyFill="1" applyBorder="1">
      <alignment/>
      <protection/>
    </xf>
    <xf numFmtId="0" fontId="32" fillId="0" borderId="46" xfId="58" applyFont="1" applyBorder="1">
      <alignment/>
      <protection/>
    </xf>
    <xf numFmtId="49" fontId="32" fillId="35" borderId="30" xfId="58" applyNumberFormat="1" applyFont="1" applyFill="1" applyBorder="1" applyAlignment="1">
      <alignment horizontal="center"/>
      <protection/>
    </xf>
    <xf numFmtId="0" fontId="32" fillId="35" borderId="41" xfId="58" applyFont="1" applyFill="1" applyBorder="1">
      <alignment/>
      <protection/>
    </xf>
    <xf numFmtId="0" fontId="32" fillId="35" borderId="42" xfId="58" applyFont="1" applyFill="1" applyBorder="1" applyAlignment="1">
      <alignment wrapText="1"/>
      <protection/>
    </xf>
    <xf numFmtId="0" fontId="32" fillId="0" borderId="42" xfId="58" applyFont="1" applyBorder="1">
      <alignment/>
      <protection/>
    </xf>
    <xf numFmtId="49" fontId="32" fillId="35" borderId="20" xfId="58" applyNumberFormat="1" applyFont="1" applyFill="1" applyBorder="1" applyAlignment="1">
      <alignment horizontal="center" vertical="top"/>
      <protection/>
    </xf>
    <xf numFmtId="0" fontId="32" fillId="35" borderId="39" xfId="58" applyFont="1" applyFill="1" applyBorder="1" applyAlignment="1">
      <alignment horizontal="left"/>
      <protection/>
    </xf>
    <xf numFmtId="0" fontId="32" fillId="35" borderId="47" xfId="58" applyFont="1" applyFill="1" applyBorder="1" applyAlignment="1">
      <alignment horizontal="left" wrapText="1"/>
      <protection/>
    </xf>
    <xf numFmtId="0" fontId="32" fillId="0" borderId="47" xfId="58" applyFont="1" applyBorder="1" applyAlignment="1">
      <alignment horizontal="left"/>
      <protection/>
    </xf>
    <xf numFmtId="181" fontId="32" fillId="0" borderId="20" xfId="58" applyNumberFormat="1" applyFont="1" applyBorder="1" applyAlignment="1">
      <alignment horizontal="center"/>
      <protection/>
    </xf>
    <xf numFmtId="181" fontId="32" fillId="0" borderId="21" xfId="58" applyNumberFormat="1" applyFont="1" applyBorder="1" applyAlignment="1">
      <alignment horizontal="center"/>
      <protection/>
    </xf>
    <xf numFmtId="181" fontId="32" fillId="0" borderId="29" xfId="58" applyNumberFormat="1" applyFont="1" applyBorder="1" applyAlignment="1">
      <alignment horizontal="center"/>
      <protection/>
    </xf>
    <xf numFmtId="181" fontId="32" fillId="0" borderId="0" xfId="58" applyNumberFormat="1" applyFont="1">
      <alignment/>
      <protection/>
    </xf>
    <xf numFmtId="0" fontId="32" fillId="0" borderId="0" xfId="59" applyFont="1">
      <alignment/>
      <protection/>
    </xf>
    <xf numFmtId="0" fontId="32" fillId="32" borderId="0" xfId="59" applyFont="1" applyFill="1" applyAlignment="1">
      <alignment vertical="center" wrapText="1"/>
      <protection/>
    </xf>
    <xf numFmtId="0" fontId="32" fillId="32" borderId="14" xfId="59" applyFont="1" applyFill="1" applyBorder="1" applyAlignment="1">
      <alignment horizontal="center" vertical="center" wrapText="1"/>
      <protection/>
    </xf>
    <xf numFmtId="0" fontId="32" fillId="32" borderId="11" xfId="59" applyFont="1" applyFill="1" applyBorder="1" applyAlignment="1">
      <alignment horizontal="center" vertical="center" wrapText="1"/>
      <protection/>
    </xf>
    <xf numFmtId="0" fontId="32" fillId="32" borderId="19" xfId="59" applyFont="1" applyFill="1" applyBorder="1" applyAlignment="1">
      <alignment horizontal="center" vertical="center" wrapText="1"/>
      <protection/>
    </xf>
    <xf numFmtId="0" fontId="32" fillId="32" borderId="37" xfId="59" applyFont="1" applyFill="1" applyBorder="1" applyAlignment="1">
      <alignment horizontal="center" vertical="center" wrapText="1"/>
      <protection/>
    </xf>
    <xf numFmtId="0" fontId="32" fillId="32" borderId="38" xfId="59" applyFont="1" applyFill="1" applyBorder="1" applyAlignment="1">
      <alignment horizontal="center" vertical="center" wrapText="1"/>
      <protection/>
    </xf>
    <xf numFmtId="0" fontId="32" fillId="32" borderId="20" xfId="59" applyFont="1" applyFill="1" applyBorder="1" applyAlignment="1">
      <alignment horizontal="center" wrapText="1"/>
      <protection/>
    </xf>
    <xf numFmtId="0" fontId="32" fillId="32" borderId="39" xfId="59" applyFont="1" applyFill="1" applyBorder="1" applyAlignment="1">
      <alignment horizontal="center" wrapText="1"/>
      <protection/>
    </xf>
    <xf numFmtId="0" fontId="32" fillId="32" borderId="21" xfId="59" applyFont="1" applyFill="1" applyBorder="1" applyAlignment="1">
      <alignment horizontal="center" wrapText="1"/>
      <protection/>
    </xf>
    <xf numFmtId="0" fontId="32" fillId="32" borderId="29" xfId="59" applyFont="1" applyFill="1" applyBorder="1" applyAlignment="1">
      <alignment horizontal="center" wrapText="1"/>
      <protection/>
    </xf>
    <xf numFmtId="0" fontId="32" fillId="32" borderId="40" xfId="59" applyFont="1" applyFill="1" applyBorder="1" applyAlignment="1">
      <alignment horizontal="center" wrapText="1"/>
      <protection/>
    </xf>
    <xf numFmtId="0" fontId="32" fillId="32" borderId="0" xfId="59" applyFont="1" applyFill="1" applyAlignment="1">
      <alignment wrapText="1"/>
      <protection/>
    </xf>
    <xf numFmtId="49" fontId="32" fillId="35" borderId="30" xfId="59" applyNumberFormat="1" applyFont="1" applyFill="1" applyBorder="1" applyAlignment="1">
      <alignment horizontal="center" vertical="top"/>
      <protection/>
    </xf>
    <xf numFmtId="0" fontId="32" fillId="35" borderId="41" xfId="59" applyFont="1" applyFill="1" applyBorder="1" applyAlignment="1">
      <alignment horizontal="left"/>
      <protection/>
    </xf>
    <xf numFmtId="0" fontId="32" fillId="35" borderId="42" xfId="59" applyFont="1" applyFill="1" applyBorder="1" applyAlignment="1">
      <alignment horizontal="left" wrapText="1"/>
      <protection/>
    </xf>
    <xf numFmtId="0" fontId="32" fillId="0" borderId="42" xfId="59" applyFont="1" applyBorder="1" applyAlignment="1">
      <alignment horizontal="left"/>
      <protection/>
    </xf>
    <xf numFmtId="181" fontId="32" fillId="0" borderId="27" xfId="59" applyNumberFormat="1" applyFont="1" applyBorder="1" applyAlignment="1">
      <alignment horizontal="center"/>
      <protection/>
    </xf>
    <xf numFmtId="181" fontId="32" fillId="0" borderId="12" xfId="59" applyNumberFormat="1" applyFont="1" applyBorder="1" applyAlignment="1">
      <alignment horizontal="center"/>
      <protection/>
    </xf>
    <xf numFmtId="181" fontId="32" fillId="0" borderId="28" xfId="59" applyNumberFormat="1" applyFont="1" applyBorder="1" applyAlignment="1">
      <alignment horizontal="center"/>
      <protection/>
    </xf>
    <xf numFmtId="49" fontId="32" fillId="35" borderId="14" xfId="59" applyNumberFormat="1" applyFont="1" applyFill="1" applyBorder="1" applyAlignment="1">
      <alignment horizontal="center"/>
      <protection/>
    </xf>
    <xf numFmtId="0" fontId="32" fillId="35" borderId="38" xfId="59" applyFont="1" applyFill="1" applyBorder="1" applyAlignment="1">
      <alignment horizontal="left"/>
      <protection/>
    </xf>
    <xf numFmtId="0" fontId="32" fillId="35" borderId="44" xfId="59" applyFont="1" applyFill="1" applyBorder="1" applyAlignment="1">
      <alignment horizontal="left" wrapText="1"/>
      <protection/>
    </xf>
    <xf numFmtId="0" fontId="32" fillId="0" borderId="44" xfId="59" applyFont="1" applyBorder="1" applyAlignment="1">
      <alignment horizontal="left"/>
      <protection/>
    </xf>
    <xf numFmtId="181" fontId="32" fillId="0" borderId="14" xfId="59" applyNumberFormat="1" applyFont="1" applyBorder="1" applyAlignment="1">
      <alignment horizontal="center"/>
      <protection/>
    </xf>
    <xf numFmtId="181" fontId="32" fillId="0" borderId="11" xfId="59" applyNumberFormat="1" applyFont="1" applyBorder="1" applyAlignment="1">
      <alignment horizontal="center"/>
      <protection/>
    </xf>
    <xf numFmtId="175" fontId="32" fillId="0" borderId="0" xfId="59" applyNumberFormat="1" applyFont="1">
      <alignment/>
      <protection/>
    </xf>
    <xf numFmtId="181" fontId="32" fillId="0" borderId="19" xfId="59" applyNumberFormat="1" applyFont="1" applyBorder="1" applyAlignment="1">
      <alignment horizontal="center"/>
      <protection/>
    </xf>
    <xf numFmtId="49" fontId="32" fillId="35" borderId="14" xfId="59" applyNumberFormat="1" applyFont="1" applyFill="1" applyBorder="1" applyAlignment="1">
      <alignment horizontal="center" vertical="top"/>
      <protection/>
    </xf>
    <xf numFmtId="10" fontId="32" fillId="35" borderId="14" xfId="74" applyNumberFormat="1" applyFont="1" applyFill="1" applyBorder="1" applyAlignment="1">
      <alignment horizontal="center"/>
    </xf>
    <xf numFmtId="10" fontId="32" fillId="35" borderId="38" xfId="74" applyNumberFormat="1" applyFont="1" applyFill="1" applyBorder="1" applyAlignment="1">
      <alignment horizontal="left"/>
    </xf>
    <xf numFmtId="10" fontId="32" fillId="35" borderId="44" xfId="74" applyNumberFormat="1" applyFont="1" applyFill="1" applyBorder="1" applyAlignment="1">
      <alignment horizontal="left" wrapText="1"/>
    </xf>
    <xf numFmtId="10" fontId="32" fillId="0" borderId="44" xfId="74" applyNumberFormat="1" applyFont="1" applyBorder="1" applyAlignment="1">
      <alignment horizontal="left"/>
    </xf>
    <xf numFmtId="10" fontId="32" fillId="0" borderId="0" xfId="74" applyNumberFormat="1" applyFont="1" applyAlignment="1">
      <alignment/>
    </xf>
    <xf numFmtId="3" fontId="32" fillId="0" borderId="0" xfId="59" applyNumberFormat="1" applyFont="1">
      <alignment/>
      <protection/>
    </xf>
    <xf numFmtId="0" fontId="32" fillId="35" borderId="44" xfId="59" applyFont="1" applyFill="1" applyBorder="1" applyAlignment="1">
      <alignment horizontal="left" vertical="top" wrapText="1"/>
      <protection/>
    </xf>
    <xf numFmtId="49" fontId="32" fillId="35" borderId="20" xfId="59" applyNumberFormat="1" applyFont="1" applyFill="1" applyBorder="1" applyAlignment="1">
      <alignment horizontal="center" vertical="top"/>
      <protection/>
    </xf>
    <xf numFmtId="0" fontId="32" fillId="35" borderId="39" xfId="59" applyFont="1" applyFill="1" applyBorder="1" applyAlignment="1">
      <alignment horizontal="left"/>
      <protection/>
    </xf>
    <xf numFmtId="0" fontId="32" fillId="35" borderId="47" xfId="59" applyFont="1" applyFill="1" applyBorder="1" applyAlignment="1">
      <alignment horizontal="left" wrapText="1"/>
      <protection/>
    </xf>
    <xf numFmtId="0" fontId="32" fillId="0" borderId="47" xfId="59" applyFont="1" applyBorder="1" applyAlignment="1">
      <alignment horizontal="left"/>
      <protection/>
    </xf>
    <xf numFmtId="181" fontId="32" fillId="0" borderId="20" xfId="59" applyNumberFormat="1" applyFont="1" applyBorder="1" applyAlignment="1">
      <alignment horizontal="center"/>
      <protection/>
    </xf>
    <xf numFmtId="181" fontId="32" fillId="0" borderId="21" xfId="59" applyNumberFormat="1" applyFont="1" applyBorder="1" applyAlignment="1">
      <alignment horizontal="center"/>
      <protection/>
    </xf>
    <xf numFmtId="181" fontId="32" fillId="0" borderId="29" xfId="59" applyNumberFormat="1" applyFont="1" applyBorder="1" applyAlignment="1">
      <alignment horizontal="center"/>
      <protection/>
    </xf>
    <xf numFmtId="3" fontId="37" fillId="0" borderId="11" xfId="59" applyNumberFormat="1" applyFont="1" applyBorder="1" applyAlignment="1">
      <alignment horizontal="center"/>
      <protection/>
    </xf>
    <xf numFmtId="0" fontId="37" fillId="0" borderId="11" xfId="59" applyFont="1" applyBorder="1" applyAlignment="1">
      <alignment horizontal="center"/>
      <protection/>
    </xf>
    <xf numFmtId="0" fontId="13" fillId="35" borderId="14" xfId="69" applyFont="1" applyFill="1" applyBorder="1" applyAlignment="1">
      <alignment horizontal="center" vertical="center" wrapText="1"/>
      <protection/>
    </xf>
    <xf numFmtId="0" fontId="13" fillId="35" borderId="20" xfId="69" applyFont="1" applyFill="1" applyBorder="1" applyAlignment="1">
      <alignment horizontal="center" vertical="center" wrapText="1"/>
      <protection/>
    </xf>
    <xf numFmtId="0" fontId="13" fillId="0" borderId="0" xfId="69" applyFont="1" applyAlignment="1">
      <alignment horizontal="right"/>
      <protection/>
    </xf>
    <xf numFmtId="0" fontId="13" fillId="0" borderId="0" xfId="69" applyFont="1">
      <alignment/>
      <protection/>
    </xf>
    <xf numFmtId="0" fontId="39" fillId="0" borderId="0" xfId="69" applyFont="1" applyAlignment="1">
      <alignment horizontal="center"/>
      <protection/>
    </xf>
    <xf numFmtId="0" fontId="15" fillId="0" borderId="0" xfId="69" applyFont="1">
      <alignment/>
      <protection/>
    </xf>
    <xf numFmtId="0" fontId="1" fillId="32" borderId="14" xfId="69" applyFont="1" applyFill="1" applyBorder="1" applyAlignment="1">
      <alignment horizontal="center" vertical="center" wrapText="1"/>
      <protection/>
    </xf>
    <xf numFmtId="0" fontId="7" fillId="32" borderId="20" xfId="69" applyFont="1" applyFill="1" applyBorder="1" applyAlignment="1">
      <alignment horizontal="center"/>
      <protection/>
    </xf>
    <xf numFmtId="0" fontId="7" fillId="32" borderId="39" xfId="69" applyFont="1" applyFill="1" applyBorder="1" applyAlignment="1">
      <alignment horizontal="center"/>
      <protection/>
    </xf>
    <xf numFmtId="0" fontId="7" fillId="32" borderId="21" xfId="69" applyFont="1" applyFill="1" applyBorder="1" applyAlignment="1">
      <alignment horizontal="center"/>
      <protection/>
    </xf>
    <xf numFmtId="0" fontId="7" fillId="32" borderId="29" xfId="69" applyFont="1" applyFill="1" applyBorder="1" applyAlignment="1">
      <alignment horizontal="center"/>
      <protection/>
    </xf>
    <xf numFmtId="0" fontId="13" fillId="35" borderId="30" xfId="69" applyFont="1" applyFill="1" applyBorder="1" applyAlignment="1">
      <alignment horizontal="center" vertical="top"/>
      <protection/>
    </xf>
    <xf numFmtId="0" fontId="20" fillId="35" borderId="41" xfId="69" applyFont="1" applyFill="1" applyBorder="1">
      <alignment/>
      <protection/>
    </xf>
    <xf numFmtId="4" fontId="107" fillId="0" borderId="30" xfId="69" applyNumberFormat="1" applyFont="1" applyBorder="1">
      <alignment/>
      <protection/>
    </xf>
    <xf numFmtId="0" fontId="13" fillId="35" borderId="14" xfId="69" applyFont="1" applyFill="1" applyBorder="1" applyAlignment="1">
      <alignment horizontal="center" vertical="top"/>
      <protection/>
    </xf>
    <xf numFmtId="0" fontId="20" fillId="35" borderId="38" xfId="69" applyFont="1" applyFill="1" applyBorder="1">
      <alignment/>
      <protection/>
    </xf>
    <xf numFmtId="4" fontId="107" fillId="0" borderId="14" xfId="69" applyNumberFormat="1" applyFont="1" applyBorder="1">
      <alignment/>
      <protection/>
    </xf>
    <xf numFmtId="4" fontId="107" fillId="0" borderId="11" xfId="69" applyNumberFormat="1" applyFont="1" applyBorder="1">
      <alignment/>
      <protection/>
    </xf>
    <xf numFmtId="4" fontId="107" fillId="0" borderId="19" xfId="69" applyNumberFormat="1" applyFont="1" applyBorder="1">
      <alignment/>
      <protection/>
    </xf>
    <xf numFmtId="0" fontId="20" fillId="35" borderId="38" xfId="69" applyFont="1" applyFill="1" applyBorder="1" applyAlignment="1">
      <alignment horizontal="left" indent="1"/>
      <protection/>
    </xf>
    <xf numFmtId="4" fontId="15" fillId="0" borderId="14" xfId="69" applyNumberFormat="1" applyFont="1" applyBorder="1">
      <alignment/>
      <protection/>
    </xf>
    <xf numFmtId="4" fontId="15" fillId="0" borderId="11" xfId="69" applyNumberFormat="1" applyFont="1" applyBorder="1">
      <alignment/>
      <protection/>
    </xf>
    <xf numFmtId="4" fontId="15" fillId="0" borderId="19" xfId="69" applyNumberFormat="1" applyFont="1" applyBorder="1">
      <alignment/>
      <protection/>
    </xf>
    <xf numFmtId="0" fontId="20" fillId="35" borderId="38" xfId="69" applyFont="1" applyFill="1" applyBorder="1" applyAlignment="1">
      <alignment wrapText="1"/>
      <protection/>
    </xf>
    <xf numFmtId="0" fontId="20" fillId="35" borderId="38" xfId="69" applyFont="1" applyFill="1" applyBorder="1" applyAlignment="1">
      <alignment horizontal="left" vertical="top" wrapText="1" indent="1"/>
      <protection/>
    </xf>
    <xf numFmtId="0" fontId="20" fillId="35" borderId="38" xfId="69" applyFont="1" applyFill="1" applyBorder="1" applyAlignment="1">
      <alignment horizontal="left" wrapText="1" indent="1"/>
      <protection/>
    </xf>
    <xf numFmtId="4" fontId="13" fillId="0" borderId="0" xfId="69" applyNumberFormat="1" applyFont="1">
      <alignment/>
      <protection/>
    </xf>
    <xf numFmtId="4" fontId="15" fillId="0" borderId="48" xfId="69" applyNumberFormat="1" applyFont="1" applyBorder="1">
      <alignment/>
      <protection/>
    </xf>
    <xf numFmtId="4" fontId="15" fillId="0" borderId="37" xfId="69" applyNumberFormat="1" applyFont="1" applyBorder="1">
      <alignment/>
      <protection/>
    </xf>
    <xf numFmtId="0" fontId="20" fillId="35" borderId="38" xfId="69" applyFont="1" applyFill="1" applyBorder="1" applyAlignment="1">
      <alignment horizontal="left" indent="2"/>
      <protection/>
    </xf>
    <xf numFmtId="0" fontId="10" fillId="35" borderId="14" xfId="69" applyFont="1" applyFill="1" applyBorder="1" applyAlignment="1">
      <alignment horizontal="center" vertical="top"/>
      <protection/>
    </xf>
    <xf numFmtId="0" fontId="19" fillId="35" borderId="38" xfId="69" applyFont="1" applyFill="1" applyBorder="1">
      <alignment/>
      <protection/>
    </xf>
    <xf numFmtId="4" fontId="18" fillId="0" borderId="14" xfId="69" applyNumberFormat="1" applyFont="1" applyBorder="1">
      <alignment/>
      <protection/>
    </xf>
    <xf numFmtId="4" fontId="18" fillId="0" borderId="11" xfId="69" applyNumberFormat="1" applyFont="1" applyBorder="1">
      <alignment/>
      <protection/>
    </xf>
    <xf numFmtId="4" fontId="18" fillId="0" borderId="19" xfId="69" applyNumberFormat="1" applyFont="1" applyBorder="1">
      <alignment/>
      <protection/>
    </xf>
    <xf numFmtId="4" fontId="10" fillId="0" borderId="0" xfId="69" applyNumberFormat="1" applyFont="1">
      <alignment/>
      <protection/>
    </xf>
    <xf numFmtId="0" fontId="10" fillId="0" borderId="0" xfId="69" applyFont="1">
      <alignment/>
      <protection/>
    </xf>
    <xf numFmtId="16" fontId="13" fillId="35" borderId="14" xfId="69" applyNumberFormat="1" applyFont="1" applyFill="1" applyBorder="1" applyAlignment="1">
      <alignment horizontal="center" vertical="top"/>
      <protection/>
    </xf>
    <xf numFmtId="0" fontId="13" fillId="35" borderId="20" xfId="69" applyFont="1" applyFill="1" applyBorder="1" applyAlignment="1">
      <alignment horizontal="center" vertical="top"/>
      <protection/>
    </xf>
    <xf numFmtId="0" fontId="20" fillId="35" borderId="39" xfId="69" applyFont="1" applyFill="1" applyBorder="1">
      <alignment/>
      <protection/>
    </xf>
    <xf numFmtId="4" fontId="107" fillId="0" borderId="20" xfId="69" applyNumberFormat="1" applyFont="1" applyBorder="1">
      <alignment/>
      <protection/>
    </xf>
    <xf numFmtId="4" fontId="107" fillId="0" borderId="21" xfId="69" applyNumberFormat="1" applyFont="1" applyBorder="1">
      <alignment/>
      <protection/>
    </xf>
    <xf numFmtId="4" fontId="107" fillId="0" borderId="29" xfId="69" applyNumberFormat="1" applyFont="1" applyBorder="1">
      <alignment/>
      <protection/>
    </xf>
    <xf numFmtId="0" fontId="13" fillId="0" borderId="0" xfId="69" applyFont="1" applyAlignment="1">
      <alignment vertical="top"/>
      <protection/>
    </xf>
    <xf numFmtId="0" fontId="35" fillId="0" borderId="0" xfId="69" applyFont="1" applyAlignment="1">
      <alignment vertical="center"/>
      <protection/>
    </xf>
    <xf numFmtId="0" fontId="35" fillId="0" borderId="0" xfId="69" applyFont="1">
      <alignment/>
      <protection/>
    </xf>
    <xf numFmtId="0" fontId="36" fillId="0" borderId="0" xfId="69" applyFont="1" applyBorder="1" applyAlignment="1">
      <alignment horizontal="center" vertical="center"/>
      <protection/>
    </xf>
    <xf numFmtId="0" fontId="1" fillId="32" borderId="19" xfId="69" applyFont="1" applyFill="1" applyBorder="1" applyAlignment="1">
      <alignment horizontal="center" vertical="center" wrapText="1"/>
      <protection/>
    </xf>
    <xf numFmtId="0" fontId="1" fillId="32" borderId="37" xfId="69" applyFont="1" applyFill="1" applyBorder="1" applyAlignment="1">
      <alignment horizontal="center" vertical="center" wrapText="1"/>
      <protection/>
    </xf>
    <xf numFmtId="0" fontId="1" fillId="32" borderId="38" xfId="69" applyFont="1" applyFill="1" applyBorder="1" applyAlignment="1">
      <alignment horizontal="center" vertical="center" wrapText="1"/>
      <protection/>
    </xf>
    <xf numFmtId="0" fontId="22" fillId="32" borderId="20" xfId="69" applyFont="1" applyFill="1" applyBorder="1" applyAlignment="1">
      <alignment horizontal="center" vertical="center"/>
      <protection/>
    </xf>
    <xf numFmtId="0" fontId="22" fillId="32" borderId="39" xfId="69" applyFont="1" applyFill="1" applyBorder="1" applyAlignment="1">
      <alignment horizontal="center" vertical="center"/>
      <protection/>
    </xf>
    <xf numFmtId="0" fontId="22" fillId="32" borderId="20" xfId="69" applyFont="1" applyFill="1" applyBorder="1" applyAlignment="1">
      <alignment horizontal="center"/>
      <protection/>
    </xf>
    <xf numFmtId="0" fontId="22" fillId="32" borderId="29" xfId="69" applyFont="1" applyFill="1" applyBorder="1" applyAlignment="1">
      <alignment horizontal="center"/>
      <protection/>
    </xf>
    <xf numFmtId="0" fontId="22" fillId="32" borderId="40" xfId="69" applyFont="1" applyFill="1" applyBorder="1" applyAlignment="1">
      <alignment horizontal="center"/>
      <protection/>
    </xf>
    <xf numFmtId="0" fontId="22" fillId="32" borderId="39" xfId="69" applyFont="1" applyFill="1" applyBorder="1" applyAlignment="1">
      <alignment horizontal="center"/>
      <protection/>
    </xf>
    <xf numFmtId="0" fontId="22" fillId="32" borderId="20" xfId="69" applyFont="1" applyFill="1" applyBorder="1" applyAlignment="1">
      <alignment horizontal="center"/>
      <protection/>
    </xf>
    <xf numFmtId="0" fontId="22" fillId="35" borderId="30" xfId="69" applyFont="1" applyFill="1" applyBorder="1" applyAlignment="1">
      <alignment horizontal="center" vertical="center"/>
      <protection/>
    </xf>
    <xf numFmtId="0" fontId="22" fillId="35" borderId="41" xfId="69" applyFont="1" applyFill="1" applyBorder="1" applyAlignment="1">
      <alignment vertical="center" wrapText="1"/>
      <protection/>
    </xf>
    <xf numFmtId="4" fontId="7" fillId="36" borderId="30" xfId="69" applyNumberFormat="1" applyFont="1" applyFill="1" applyBorder="1">
      <alignment/>
      <protection/>
    </xf>
    <xf numFmtId="4" fontId="108" fillId="0" borderId="43" xfId="69" applyNumberFormat="1" applyFont="1" applyBorder="1">
      <alignment/>
      <protection/>
    </xf>
    <xf numFmtId="4" fontId="7" fillId="36" borderId="27" xfId="69" applyNumberFormat="1" applyFont="1" applyFill="1" applyBorder="1">
      <alignment/>
      <protection/>
    </xf>
    <xf numFmtId="4" fontId="108" fillId="0" borderId="28" xfId="69" applyNumberFormat="1" applyFont="1" applyBorder="1">
      <alignment/>
      <protection/>
    </xf>
    <xf numFmtId="4" fontId="109" fillId="0" borderId="28" xfId="69" applyNumberFormat="1" applyFont="1" applyBorder="1">
      <alignment/>
      <protection/>
    </xf>
    <xf numFmtId="4" fontId="35" fillId="0" borderId="0" xfId="69" applyNumberFormat="1" applyFont="1">
      <alignment/>
      <protection/>
    </xf>
    <xf numFmtId="0" fontId="22" fillId="35" borderId="14" xfId="69" applyFont="1" applyFill="1" applyBorder="1" applyAlignment="1">
      <alignment horizontal="center" vertical="center"/>
      <protection/>
    </xf>
    <xf numFmtId="0" fontId="22" fillId="35" borderId="38" xfId="69" applyFont="1" applyFill="1" applyBorder="1" applyAlignment="1">
      <alignment vertical="center" wrapText="1"/>
      <protection/>
    </xf>
    <xf numFmtId="4" fontId="7" fillId="36" borderId="14" xfId="69" applyNumberFormat="1" applyFont="1" applyFill="1" applyBorder="1">
      <alignment/>
      <protection/>
    </xf>
    <xf numFmtId="4" fontId="108" fillId="0" borderId="19" xfId="69" applyNumberFormat="1" applyFont="1" applyBorder="1">
      <alignment/>
      <protection/>
    </xf>
    <xf numFmtId="4" fontId="108" fillId="0" borderId="14" xfId="69" applyNumberFormat="1" applyFont="1" applyBorder="1">
      <alignment/>
      <protection/>
    </xf>
    <xf numFmtId="4" fontId="109" fillId="0" borderId="19" xfId="69" applyNumberFormat="1" applyFont="1" applyBorder="1">
      <alignment/>
      <protection/>
    </xf>
    <xf numFmtId="179" fontId="108" fillId="0" borderId="19" xfId="69" applyNumberFormat="1" applyFont="1" applyBorder="1">
      <alignment/>
      <protection/>
    </xf>
    <xf numFmtId="4" fontId="7" fillId="0" borderId="14" xfId="69" applyNumberFormat="1" applyFont="1" applyBorder="1">
      <alignment/>
      <protection/>
    </xf>
    <xf numFmtId="0" fontId="35" fillId="0" borderId="0" xfId="69" applyFont="1" applyAlignment="1">
      <alignment horizontal="center"/>
      <protection/>
    </xf>
    <xf numFmtId="0" fontId="35" fillId="0" borderId="0" xfId="69" applyFont="1" applyAlignment="1">
      <alignment horizontal="right"/>
      <protection/>
    </xf>
    <xf numFmtId="3" fontId="35" fillId="0" borderId="0" xfId="69" applyNumberFormat="1" applyFont="1" applyAlignment="1">
      <alignment horizontal="right"/>
      <protection/>
    </xf>
    <xf numFmtId="49" fontId="22" fillId="35" borderId="14" xfId="69" applyNumberFormat="1" applyFont="1" applyFill="1" applyBorder="1" applyAlignment="1">
      <alignment horizontal="center" vertical="center"/>
      <protection/>
    </xf>
    <xf numFmtId="0" fontId="22" fillId="35" borderId="38" xfId="69" applyFont="1" applyFill="1" applyBorder="1" applyAlignment="1">
      <alignment horizontal="left" vertical="center" indent="3"/>
      <protection/>
    </xf>
    <xf numFmtId="0" fontId="22" fillId="35" borderId="38" xfId="69" applyFont="1" applyFill="1" applyBorder="1" applyAlignment="1">
      <alignment horizontal="left" vertical="center" wrapText="1" indent="3"/>
      <protection/>
    </xf>
    <xf numFmtId="3" fontId="35" fillId="0" borderId="0" xfId="69" applyNumberFormat="1" applyFont="1">
      <alignment/>
      <protection/>
    </xf>
    <xf numFmtId="0" fontId="22" fillId="35" borderId="38" xfId="69" applyFont="1" applyFill="1" applyBorder="1" applyAlignment="1">
      <alignment vertical="center"/>
      <protection/>
    </xf>
    <xf numFmtId="182" fontId="35" fillId="0" borderId="0" xfId="74" applyNumberFormat="1" applyFont="1" applyAlignment="1">
      <alignment/>
    </xf>
    <xf numFmtId="4" fontId="7" fillId="0" borderId="19" xfId="69" applyNumberFormat="1" applyFont="1" applyBorder="1">
      <alignment/>
      <protection/>
    </xf>
    <xf numFmtId="2" fontId="35" fillId="0" borderId="0" xfId="69" applyNumberFormat="1" applyFont="1">
      <alignment/>
      <protection/>
    </xf>
    <xf numFmtId="49" fontId="41" fillId="35" borderId="14" xfId="69" applyNumberFormat="1" applyFont="1" applyFill="1" applyBorder="1" applyAlignment="1">
      <alignment horizontal="center" vertical="center"/>
      <protection/>
    </xf>
    <xf numFmtId="0" fontId="41" fillId="35" borderId="38" xfId="69" applyFont="1" applyFill="1" applyBorder="1" applyAlignment="1">
      <alignment vertical="center" wrapText="1"/>
      <protection/>
    </xf>
    <xf numFmtId="4" fontId="16" fillId="0" borderId="14" xfId="69" applyNumberFormat="1" applyFont="1" applyBorder="1">
      <alignment/>
      <protection/>
    </xf>
    <xf numFmtId="4" fontId="16" fillId="0" borderId="19" xfId="69" applyNumberFormat="1" applyFont="1" applyBorder="1">
      <alignment/>
      <protection/>
    </xf>
    <xf numFmtId="4" fontId="110" fillId="0" borderId="19" xfId="69" applyNumberFormat="1" applyFont="1" applyBorder="1">
      <alignment/>
      <protection/>
    </xf>
    <xf numFmtId="4" fontId="36" fillId="0" borderId="0" xfId="69" applyNumberFormat="1" applyFont="1">
      <alignment/>
      <protection/>
    </xf>
    <xf numFmtId="4" fontId="36" fillId="0" borderId="0" xfId="69" applyNumberFormat="1" applyFont="1" applyAlignment="1">
      <alignment horizontal="left"/>
      <protection/>
    </xf>
    <xf numFmtId="0" fontId="36" fillId="0" borderId="0" xfId="69" applyFont="1">
      <alignment/>
      <protection/>
    </xf>
    <xf numFmtId="0" fontId="6" fillId="35" borderId="38" xfId="69" applyFont="1" applyFill="1" applyBorder="1" applyAlignment="1">
      <alignment vertical="center" wrapText="1"/>
      <protection/>
    </xf>
    <xf numFmtId="49" fontId="22" fillId="35" borderId="38" xfId="69" applyNumberFormat="1" applyFont="1" applyFill="1" applyBorder="1" applyAlignment="1">
      <alignment vertical="center"/>
      <protection/>
    </xf>
    <xf numFmtId="49" fontId="22" fillId="35" borderId="38" xfId="69" applyNumberFormat="1" applyFont="1" applyFill="1" applyBorder="1" applyAlignment="1">
      <alignment vertical="center" wrapText="1"/>
      <protection/>
    </xf>
    <xf numFmtId="49" fontId="22" fillId="35" borderId="20" xfId="69" applyNumberFormat="1" applyFont="1" applyFill="1" applyBorder="1" applyAlignment="1">
      <alignment horizontal="center" vertical="center"/>
      <protection/>
    </xf>
    <xf numFmtId="0" fontId="21" fillId="35" borderId="39" xfId="69" applyFont="1" applyFill="1" applyBorder="1" applyAlignment="1">
      <alignment horizontal="left" vertical="center" wrapText="1"/>
      <protection/>
    </xf>
    <xf numFmtId="4" fontId="108" fillId="0" borderId="20" xfId="69" applyNumberFormat="1" applyFont="1" applyBorder="1">
      <alignment/>
      <protection/>
    </xf>
    <xf numFmtId="4" fontId="108" fillId="0" borderId="29" xfId="69" applyNumberFormat="1" applyFont="1" applyBorder="1">
      <alignment/>
      <protection/>
    </xf>
    <xf numFmtId="4" fontId="109" fillId="0" borderId="29" xfId="69" applyNumberFormat="1" applyFont="1" applyBorder="1">
      <alignment/>
      <protection/>
    </xf>
    <xf numFmtId="0" fontId="7" fillId="0" borderId="0" xfId="69" applyFont="1" applyAlignment="1">
      <alignment vertical="center"/>
      <protection/>
    </xf>
    <xf numFmtId="0" fontId="7" fillId="0" borderId="0" xfId="69" applyFont="1" applyAlignment="1">
      <alignment vertical="center"/>
      <protection/>
    </xf>
    <xf numFmtId="4" fontId="7" fillId="0" borderId="0" xfId="69" applyNumberFormat="1" applyFont="1" applyAlignment="1">
      <alignment vertical="center"/>
      <protection/>
    </xf>
    <xf numFmtId="4" fontId="35" fillId="0" borderId="0" xfId="69" applyNumberFormat="1" applyFont="1" applyAlignment="1">
      <alignment vertical="center"/>
      <protection/>
    </xf>
    <xf numFmtId="0" fontId="13" fillId="32" borderId="20" xfId="69" applyFont="1" applyFill="1" applyBorder="1" applyAlignment="1">
      <alignment horizontal="center"/>
      <protection/>
    </xf>
    <xf numFmtId="0" fontId="13" fillId="32" borderId="39" xfId="69" applyFont="1" applyFill="1" applyBorder="1" applyAlignment="1">
      <alignment horizontal="center" vertical="center"/>
      <protection/>
    </xf>
    <xf numFmtId="0" fontId="13" fillId="32" borderId="20" xfId="69" applyFont="1" applyFill="1" applyBorder="1" applyAlignment="1">
      <alignment horizontal="center" vertical="center" wrapText="1"/>
      <protection/>
    </xf>
    <xf numFmtId="0" fontId="13" fillId="32" borderId="21" xfId="69" applyFont="1" applyFill="1" applyBorder="1" applyAlignment="1">
      <alignment horizontal="center" vertical="center" wrapText="1"/>
      <protection/>
    </xf>
    <xf numFmtId="0" fontId="13" fillId="32" borderId="29" xfId="69" applyFont="1" applyFill="1" applyBorder="1" applyAlignment="1">
      <alignment horizontal="center" vertical="center" wrapText="1"/>
      <protection/>
    </xf>
    <xf numFmtId="0" fontId="13" fillId="35" borderId="30" xfId="69" applyFont="1" applyFill="1" applyBorder="1" applyAlignment="1">
      <alignment horizontal="center"/>
      <protection/>
    </xf>
    <xf numFmtId="0" fontId="13" fillId="35" borderId="41" xfId="69" applyFont="1" applyFill="1" applyBorder="1">
      <alignment/>
      <protection/>
    </xf>
    <xf numFmtId="4" fontId="13" fillId="0" borderId="30" xfId="69" applyNumberFormat="1" applyFont="1" applyFill="1" applyBorder="1" applyAlignment="1">
      <alignment wrapText="1"/>
      <protection/>
    </xf>
    <xf numFmtId="4" fontId="13" fillId="0" borderId="23" xfId="69" applyNumberFormat="1" applyFont="1" applyFill="1" applyBorder="1" applyAlignment="1">
      <alignment wrapText="1"/>
      <protection/>
    </xf>
    <xf numFmtId="0" fontId="13" fillId="35" borderId="14" xfId="69" applyFont="1" applyFill="1" applyBorder="1" applyAlignment="1">
      <alignment horizontal="center"/>
      <protection/>
    </xf>
    <xf numFmtId="0" fontId="17" fillId="35" borderId="38" xfId="69" applyFont="1" applyFill="1" applyBorder="1">
      <alignment/>
      <protection/>
    </xf>
    <xf numFmtId="4" fontId="17" fillId="0" borderId="14" xfId="69" applyNumberFormat="1" applyFont="1" applyFill="1" applyBorder="1" applyAlignment="1">
      <alignment wrapText="1"/>
      <protection/>
    </xf>
    <xf numFmtId="4" fontId="17" fillId="0" borderId="11" xfId="69" applyNumberFormat="1" applyFont="1" applyFill="1" applyBorder="1" applyAlignment="1">
      <alignment wrapText="1"/>
      <protection/>
    </xf>
    <xf numFmtId="4" fontId="17" fillId="0" borderId="19" xfId="69" applyNumberFormat="1" applyFont="1" applyFill="1" applyBorder="1" applyAlignment="1">
      <alignment wrapText="1"/>
      <protection/>
    </xf>
    <xf numFmtId="0" fontId="13" fillId="35" borderId="38" xfId="69" applyFont="1" applyFill="1" applyBorder="1">
      <alignment/>
      <protection/>
    </xf>
    <xf numFmtId="4" fontId="13" fillId="0" borderId="14" xfId="69" applyNumberFormat="1" applyFont="1" applyFill="1" applyBorder="1" applyAlignment="1">
      <alignment wrapText="1"/>
      <protection/>
    </xf>
    <xf numFmtId="4" fontId="13" fillId="0" borderId="11" xfId="69" applyNumberFormat="1" applyFont="1" applyFill="1" applyBorder="1" applyAlignment="1">
      <alignment wrapText="1"/>
      <protection/>
    </xf>
    <xf numFmtId="4" fontId="13" fillId="0" borderId="19" xfId="69" applyNumberFormat="1" applyFont="1" applyFill="1" applyBorder="1" applyAlignment="1">
      <alignment wrapText="1"/>
      <protection/>
    </xf>
    <xf numFmtId="0" fontId="13" fillId="35" borderId="38" xfId="69" applyFont="1" applyFill="1" applyBorder="1" applyAlignment="1">
      <alignment wrapText="1"/>
      <protection/>
    </xf>
    <xf numFmtId="4" fontId="42" fillId="0" borderId="14" xfId="69" applyNumberFormat="1" applyFont="1" applyFill="1" applyBorder="1" applyAlignment="1">
      <alignment wrapText="1"/>
      <protection/>
    </xf>
    <xf numFmtId="4" fontId="42" fillId="0" borderId="11" xfId="69" applyNumberFormat="1" applyFont="1" applyFill="1" applyBorder="1" applyAlignment="1">
      <alignment wrapText="1"/>
      <protection/>
    </xf>
    <xf numFmtId="4" fontId="42" fillId="0" borderId="19" xfId="69" applyNumberFormat="1" applyFont="1" applyFill="1" applyBorder="1" applyAlignment="1">
      <alignment wrapText="1"/>
      <protection/>
    </xf>
    <xf numFmtId="0" fontId="13" fillId="35" borderId="20" xfId="69" applyFont="1" applyFill="1" applyBorder="1" applyAlignment="1">
      <alignment horizontal="center"/>
      <protection/>
    </xf>
    <xf numFmtId="0" fontId="13" fillId="35" borderId="39" xfId="69" applyFont="1" applyFill="1" applyBorder="1">
      <alignment/>
      <protection/>
    </xf>
    <xf numFmtId="4" fontId="42" fillId="0" borderId="20" xfId="69" applyNumberFormat="1" applyFont="1" applyFill="1" applyBorder="1" applyAlignment="1">
      <alignment wrapText="1"/>
      <protection/>
    </xf>
    <xf numFmtId="4" fontId="42" fillId="0" borderId="21" xfId="69" applyNumberFormat="1" applyFont="1" applyFill="1" applyBorder="1" applyAlignment="1">
      <alignment wrapText="1"/>
      <protection/>
    </xf>
    <xf numFmtId="4" fontId="42" fillId="0" borderId="29" xfId="69" applyNumberFormat="1" applyFont="1" applyFill="1" applyBorder="1" applyAlignment="1">
      <alignment wrapText="1"/>
      <protection/>
    </xf>
    <xf numFmtId="0" fontId="20" fillId="0" borderId="0" xfId="69" applyFont="1">
      <alignment/>
      <protection/>
    </xf>
    <xf numFmtId="0" fontId="13" fillId="0" borderId="0" xfId="69" applyFont="1" applyAlignment="1">
      <alignment wrapText="1"/>
      <protection/>
    </xf>
    <xf numFmtId="0" fontId="13" fillId="0" borderId="0" xfId="67" applyAlignment="1">
      <alignment wrapText="1"/>
      <protection/>
    </xf>
    <xf numFmtId="0" fontId="13" fillId="0" borderId="0" xfId="67">
      <alignment/>
      <protection/>
    </xf>
    <xf numFmtId="0" fontId="13" fillId="0" borderId="0" xfId="69" applyFont="1" applyAlignment="1">
      <alignment horizontal="right" wrapText="1"/>
      <protection/>
    </xf>
    <xf numFmtId="0" fontId="39" fillId="0" borderId="0" xfId="69" applyFont="1" applyAlignment="1">
      <alignment horizontal="center" wrapText="1"/>
      <protection/>
    </xf>
    <xf numFmtId="0" fontId="13" fillId="32" borderId="49" xfId="69" applyFont="1" applyFill="1" applyBorder="1" applyAlignment="1">
      <alignment horizontal="center" wrapText="1"/>
      <protection/>
    </xf>
    <xf numFmtId="0" fontId="13" fillId="32" borderId="21" xfId="67" applyFill="1" applyBorder="1" applyAlignment="1">
      <alignment horizontal="center" wrapText="1"/>
      <protection/>
    </xf>
    <xf numFmtId="0" fontId="13" fillId="32" borderId="29" xfId="67" applyFill="1" applyBorder="1" applyAlignment="1">
      <alignment horizontal="center" wrapText="1"/>
      <protection/>
    </xf>
    <xf numFmtId="0" fontId="13" fillId="35" borderId="50" xfId="69" applyFont="1" applyFill="1" applyBorder="1" applyAlignment="1">
      <alignment horizontal="left" wrapText="1"/>
      <protection/>
    </xf>
    <xf numFmtId="4" fontId="13" fillId="0" borderId="27" xfId="69" applyNumberFormat="1" applyFont="1" applyBorder="1" applyAlignment="1">
      <alignment wrapText="1"/>
      <protection/>
    </xf>
    <xf numFmtId="4" fontId="13" fillId="36" borderId="12" xfId="69" applyNumberFormat="1" applyFont="1" applyFill="1" applyBorder="1" applyAlignment="1">
      <alignment wrapText="1"/>
      <protection/>
    </xf>
    <xf numFmtId="4" fontId="13" fillId="0" borderId="12" xfId="67" applyNumberFormat="1" applyFont="1" applyBorder="1" applyAlignment="1">
      <alignment wrapText="1"/>
      <protection/>
    </xf>
    <xf numFmtId="4" fontId="13" fillId="36" borderId="12" xfId="67" applyNumberFormat="1" applyFont="1" applyFill="1" applyBorder="1" applyAlignment="1">
      <alignment wrapText="1"/>
      <protection/>
    </xf>
    <xf numFmtId="4" fontId="13" fillId="0" borderId="28" xfId="67" applyNumberFormat="1" applyFont="1" applyBorder="1" applyAlignment="1">
      <alignment horizontal="center" wrapText="1"/>
      <protection/>
    </xf>
    <xf numFmtId="0" fontId="13" fillId="35" borderId="48" xfId="69" applyFont="1" applyFill="1" applyBorder="1" applyAlignment="1">
      <alignment horizontal="left" wrapText="1"/>
      <protection/>
    </xf>
    <xf numFmtId="4" fontId="17" fillId="0" borderId="14" xfId="69" applyNumberFormat="1" applyFont="1" applyBorder="1" applyAlignment="1">
      <alignment wrapText="1"/>
      <protection/>
    </xf>
    <xf numFmtId="4" fontId="13" fillId="0" borderId="11" xfId="67" applyNumberFormat="1" applyFont="1" applyBorder="1" applyAlignment="1">
      <alignment wrapText="1"/>
      <protection/>
    </xf>
    <xf numFmtId="4" fontId="13" fillId="0" borderId="19" xfId="67" applyNumberFormat="1" applyFont="1" applyBorder="1" applyAlignment="1">
      <alignment horizontal="center" wrapText="1"/>
      <protection/>
    </xf>
    <xf numFmtId="0" fontId="13" fillId="35" borderId="51" xfId="69" applyFont="1" applyFill="1" applyBorder="1" applyAlignment="1">
      <alignment horizontal="left" wrapText="1" indent="1"/>
      <protection/>
    </xf>
    <xf numFmtId="0" fontId="13" fillId="35" borderId="52" xfId="69" applyFont="1" applyFill="1" applyBorder="1" applyAlignment="1">
      <alignment horizontal="left" wrapText="1" indent="1"/>
      <protection/>
    </xf>
    <xf numFmtId="4" fontId="17" fillId="0" borderId="25" xfId="69" applyNumberFormat="1" applyFont="1" applyBorder="1" applyAlignment="1">
      <alignment wrapText="1"/>
      <protection/>
    </xf>
    <xf numFmtId="4" fontId="17" fillId="0" borderId="22" xfId="69" applyNumberFormat="1" applyFont="1" applyFill="1" applyBorder="1" applyAlignment="1">
      <alignment wrapText="1"/>
      <protection/>
    </xf>
    <xf numFmtId="4" fontId="13" fillId="0" borderId="22" xfId="67" applyNumberFormat="1" applyFont="1" applyBorder="1" applyAlignment="1">
      <alignment wrapText="1"/>
      <protection/>
    </xf>
    <xf numFmtId="4" fontId="13" fillId="0" borderId="22" xfId="69" applyNumberFormat="1" applyFont="1" applyFill="1" applyBorder="1" applyAlignment="1">
      <alignment wrapText="1"/>
      <protection/>
    </xf>
    <xf numFmtId="4" fontId="13" fillId="0" borderId="35" xfId="67" applyNumberFormat="1" applyFont="1" applyBorder="1" applyAlignment="1">
      <alignment horizontal="center" wrapText="1"/>
      <protection/>
    </xf>
    <xf numFmtId="4" fontId="43" fillId="0" borderId="20" xfId="69" applyNumberFormat="1" applyFont="1" applyBorder="1" applyAlignment="1">
      <alignment wrapText="1"/>
      <protection/>
    </xf>
    <xf numFmtId="4" fontId="13" fillId="0" borderId="21" xfId="69" applyNumberFormat="1" applyFont="1" applyFill="1" applyBorder="1" applyAlignment="1">
      <alignment wrapText="1"/>
      <protection/>
    </xf>
    <xf numFmtId="4" fontId="43" fillId="0" borderId="21" xfId="69" applyNumberFormat="1" applyFont="1" applyFill="1" applyBorder="1" applyAlignment="1">
      <alignment wrapText="1"/>
      <protection/>
    </xf>
    <xf numFmtId="4" fontId="43" fillId="0" borderId="21" xfId="67" applyNumberFormat="1" applyFont="1" applyBorder="1" applyAlignment="1">
      <alignment wrapText="1"/>
      <protection/>
    </xf>
    <xf numFmtId="4" fontId="13" fillId="0" borderId="21" xfId="67" applyNumberFormat="1" applyFont="1" applyBorder="1" applyAlignment="1">
      <alignment wrapText="1"/>
      <protection/>
    </xf>
    <xf numFmtId="4" fontId="13" fillId="0" borderId="29" xfId="67" applyNumberFormat="1" applyFont="1" applyBorder="1" applyAlignment="1">
      <alignment horizontal="center" wrapText="1"/>
      <protection/>
    </xf>
    <xf numFmtId="0" fontId="13" fillId="0" borderId="0" xfId="67" applyAlignment="1">
      <alignment horizontal="center"/>
      <protection/>
    </xf>
    <xf numFmtId="0" fontId="40" fillId="0" borderId="0" xfId="67" applyFont="1" applyAlignment="1">
      <alignment horizontal="center"/>
      <protection/>
    </xf>
    <xf numFmtId="0" fontId="1" fillId="32" borderId="11" xfId="69" applyFont="1" applyFill="1" applyBorder="1" applyAlignment="1">
      <alignment horizontal="center" vertical="center" wrapText="1"/>
      <protection/>
    </xf>
    <xf numFmtId="0" fontId="22" fillId="32" borderId="14" xfId="69" applyFont="1" applyFill="1" applyBorder="1" applyAlignment="1">
      <alignment horizontal="center"/>
      <protection/>
    </xf>
    <xf numFmtId="0" fontId="22" fillId="32" borderId="11" xfId="69" applyFont="1" applyFill="1" applyBorder="1" applyAlignment="1">
      <alignment horizontal="center"/>
      <protection/>
    </xf>
    <xf numFmtId="0" fontId="22" fillId="32" borderId="38" xfId="69" applyFont="1" applyFill="1" applyBorder="1" applyAlignment="1">
      <alignment horizontal="center"/>
      <protection/>
    </xf>
    <xf numFmtId="0" fontId="22" fillId="32" borderId="19" xfId="69" applyFont="1" applyFill="1" applyBorder="1" applyAlignment="1">
      <alignment horizontal="center"/>
      <protection/>
    </xf>
    <xf numFmtId="0" fontId="13" fillId="32" borderId="20" xfId="69" applyFont="1" applyFill="1" applyBorder="1" applyAlignment="1">
      <alignment horizontal="center" wrapText="1"/>
      <protection/>
    </xf>
    <xf numFmtId="0" fontId="21" fillId="32" borderId="39" xfId="69" applyFont="1" applyFill="1" applyBorder="1" applyAlignment="1">
      <alignment horizontal="center" wrapText="1"/>
      <protection/>
    </xf>
    <xf numFmtId="0" fontId="21" fillId="32" borderId="20" xfId="69" applyFont="1" applyFill="1" applyBorder="1" applyAlignment="1">
      <alignment horizontal="center" wrapText="1"/>
      <protection/>
    </xf>
    <xf numFmtId="0" fontId="21" fillId="32" borderId="21" xfId="69" applyFont="1" applyFill="1" applyBorder="1" applyAlignment="1">
      <alignment horizontal="center" wrapText="1"/>
      <protection/>
    </xf>
    <xf numFmtId="0" fontId="21" fillId="32" borderId="29" xfId="69" applyFont="1" applyFill="1" applyBorder="1" applyAlignment="1">
      <alignment horizontal="center" wrapText="1"/>
      <protection/>
    </xf>
    <xf numFmtId="0" fontId="13" fillId="35" borderId="41" xfId="69" applyFont="1" applyFill="1" applyBorder="1" applyAlignment="1">
      <alignment wrapText="1"/>
      <protection/>
    </xf>
    <xf numFmtId="4" fontId="42" fillId="0" borderId="23" xfId="69" applyNumberFormat="1" applyFont="1" applyFill="1" applyBorder="1" applyAlignment="1">
      <alignment wrapText="1"/>
      <protection/>
    </xf>
    <xf numFmtId="4" fontId="42" fillId="0" borderId="41" xfId="69" applyNumberFormat="1" applyFont="1" applyFill="1" applyBorder="1" applyAlignment="1">
      <alignment wrapText="1"/>
      <protection/>
    </xf>
    <xf numFmtId="4" fontId="111" fillId="0" borderId="43" xfId="69" applyNumberFormat="1" applyFont="1" applyFill="1" applyBorder="1" applyAlignment="1">
      <alignment wrapText="1"/>
      <protection/>
    </xf>
    <xf numFmtId="0" fontId="17" fillId="35" borderId="38" xfId="69" applyFont="1" applyFill="1" applyBorder="1" applyAlignment="1">
      <alignment wrapText="1"/>
      <protection/>
    </xf>
    <xf numFmtId="4" fontId="44" fillId="0" borderId="11" xfId="69" applyNumberFormat="1" applyFont="1" applyFill="1" applyBorder="1" applyAlignment="1">
      <alignment wrapText="1"/>
      <protection/>
    </xf>
    <xf numFmtId="4" fontId="45" fillId="0" borderId="11" xfId="69" applyNumberFormat="1" applyFont="1" applyFill="1" applyBorder="1" applyAlignment="1">
      <alignment wrapText="1"/>
      <protection/>
    </xf>
    <xf numFmtId="4" fontId="45" fillId="0" borderId="38" xfId="69" applyNumberFormat="1" applyFont="1" applyFill="1" applyBorder="1" applyAlignment="1">
      <alignment wrapText="1"/>
      <protection/>
    </xf>
    <xf numFmtId="4" fontId="112" fillId="0" borderId="19" xfId="69" applyNumberFormat="1" applyFont="1" applyFill="1" applyBorder="1" applyAlignment="1">
      <alignment wrapText="1"/>
      <protection/>
    </xf>
    <xf numFmtId="4" fontId="46" fillId="0" borderId="11" xfId="69" applyNumberFormat="1" applyFont="1" applyFill="1" applyBorder="1" applyAlignment="1">
      <alignment wrapText="1"/>
      <protection/>
    </xf>
    <xf numFmtId="4" fontId="46" fillId="0" borderId="38" xfId="69" applyNumberFormat="1" applyFont="1" applyFill="1" applyBorder="1" applyAlignment="1">
      <alignment wrapText="1"/>
      <protection/>
    </xf>
    <xf numFmtId="4" fontId="111" fillId="0" borderId="19" xfId="69" applyNumberFormat="1" applyFont="1" applyFill="1" applyBorder="1" applyAlignment="1">
      <alignment wrapText="1"/>
      <protection/>
    </xf>
    <xf numFmtId="4" fontId="112" fillId="0" borderId="14" xfId="69" applyNumberFormat="1" applyFont="1" applyFill="1" applyBorder="1" applyAlignment="1">
      <alignment wrapText="1"/>
      <protection/>
    </xf>
    <xf numFmtId="4" fontId="111" fillId="0" borderId="14" xfId="69" applyNumberFormat="1" applyFont="1" applyFill="1" applyBorder="1" applyAlignment="1">
      <alignment wrapText="1"/>
      <protection/>
    </xf>
    <xf numFmtId="4" fontId="13" fillId="0" borderId="14" xfId="69" applyNumberFormat="1" applyFont="1" applyFill="1" applyBorder="1" applyAlignment="1">
      <alignment horizontal="right" wrapText="1"/>
      <protection/>
    </xf>
    <xf numFmtId="4" fontId="42" fillId="0" borderId="11" xfId="69" applyNumberFormat="1" applyFont="1" applyFill="1" applyBorder="1" applyAlignment="1">
      <alignment horizontal="right" wrapText="1"/>
      <protection/>
    </xf>
    <xf numFmtId="4" fontId="46" fillId="0" borderId="11" xfId="69" applyNumberFormat="1" applyFont="1" applyFill="1" applyBorder="1" applyAlignment="1">
      <alignment horizontal="right" wrapText="1"/>
      <protection/>
    </xf>
    <xf numFmtId="4" fontId="46" fillId="0" borderId="38" xfId="69" applyNumberFormat="1" applyFont="1" applyFill="1" applyBorder="1" applyAlignment="1">
      <alignment horizontal="right" wrapText="1"/>
      <protection/>
    </xf>
    <xf numFmtId="0" fontId="17" fillId="35" borderId="14" xfId="69" applyFont="1" applyFill="1" applyBorder="1" applyAlignment="1">
      <alignment horizontal="center" wrapText="1"/>
      <protection/>
    </xf>
    <xf numFmtId="0" fontId="17" fillId="35" borderId="14" xfId="69" applyFont="1" applyFill="1" applyBorder="1" applyAlignment="1">
      <alignment wrapText="1"/>
      <protection/>
    </xf>
    <xf numFmtId="0" fontId="13" fillId="35" borderId="39" xfId="69" applyFont="1" applyFill="1" applyBorder="1" applyAlignment="1">
      <alignment wrapText="1"/>
      <protection/>
    </xf>
    <xf numFmtId="4" fontId="13" fillId="0" borderId="20" xfId="69" applyNumberFormat="1" applyFont="1" applyFill="1" applyBorder="1" applyAlignment="1">
      <alignment wrapText="1"/>
      <protection/>
    </xf>
    <xf numFmtId="4" fontId="46" fillId="0" borderId="21" xfId="69" applyNumberFormat="1" applyFont="1" applyFill="1" applyBorder="1" applyAlignment="1">
      <alignment wrapText="1"/>
      <protection/>
    </xf>
    <xf numFmtId="4" fontId="46" fillId="0" borderId="39" xfId="69" applyNumberFormat="1" applyFont="1" applyFill="1" applyBorder="1" applyAlignment="1">
      <alignment wrapText="1"/>
      <protection/>
    </xf>
    <xf numFmtId="4" fontId="111" fillId="0" borderId="29" xfId="69" applyNumberFormat="1" applyFont="1" applyFill="1" applyBorder="1" applyAlignment="1">
      <alignment wrapText="1"/>
      <protection/>
    </xf>
    <xf numFmtId="4" fontId="13" fillId="0" borderId="0" xfId="67" applyNumberFormat="1">
      <alignment/>
      <protection/>
    </xf>
    <xf numFmtId="0" fontId="13" fillId="35" borderId="23" xfId="67" applyFill="1" applyBorder="1">
      <alignment/>
      <protection/>
    </xf>
    <xf numFmtId="0" fontId="17" fillId="35" borderId="23" xfId="67" applyFont="1" applyFill="1" applyBorder="1">
      <alignment/>
      <protection/>
    </xf>
    <xf numFmtId="0" fontId="13" fillId="0" borderId="23" xfId="67" applyBorder="1">
      <alignment/>
      <protection/>
    </xf>
    <xf numFmtId="0" fontId="13" fillId="35" borderId="11" xfId="67" applyFill="1" applyBorder="1">
      <alignment/>
      <protection/>
    </xf>
    <xf numFmtId="0" fontId="13" fillId="35" borderId="11" xfId="69" applyFont="1" applyFill="1" applyBorder="1" applyAlignment="1">
      <alignment wrapText="1"/>
      <protection/>
    </xf>
    <xf numFmtId="0" fontId="13" fillId="0" borderId="11" xfId="67" applyBorder="1">
      <alignment/>
      <protection/>
    </xf>
    <xf numFmtId="2" fontId="13" fillId="0" borderId="11" xfId="67" applyNumberForma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9" fillId="0" borderId="0" xfId="68" applyFont="1" applyBorder="1" applyAlignment="1">
      <alignment horizontal="center" vertical="center" wrapText="1"/>
      <protection/>
    </xf>
    <xf numFmtId="0" fontId="13" fillId="32" borderId="53" xfId="68" applyFont="1" applyFill="1" applyBorder="1" applyAlignment="1">
      <alignment horizontal="center" wrapText="1"/>
      <protection/>
    </xf>
    <xf numFmtId="0" fontId="13" fillId="32" borderId="53" xfId="68" applyFont="1" applyFill="1" applyBorder="1">
      <alignment/>
      <protection/>
    </xf>
    <xf numFmtId="0" fontId="13" fillId="32" borderId="0" xfId="68" applyFont="1" applyFill="1" applyBorder="1">
      <alignment/>
      <protection/>
    </xf>
    <xf numFmtId="0" fontId="13" fillId="32" borderId="20" xfId="68" applyFont="1" applyFill="1" applyBorder="1" applyAlignment="1">
      <alignment horizontal="center"/>
      <protection/>
    </xf>
    <xf numFmtId="0" fontId="13" fillId="32" borderId="39" xfId="68" applyFont="1" applyFill="1" applyBorder="1" applyAlignment="1">
      <alignment horizontal="center"/>
      <protection/>
    </xf>
    <xf numFmtId="0" fontId="13" fillId="32" borderId="54" xfId="68" applyFont="1" applyFill="1" applyBorder="1" applyAlignment="1">
      <alignment horizontal="center"/>
      <protection/>
    </xf>
    <xf numFmtId="0" fontId="13" fillId="32" borderId="47" xfId="68" applyFont="1" applyFill="1" applyBorder="1" applyAlignment="1">
      <alignment horizontal="center"/>
      <protection/>
    </xf>
    <xf numFmtId="0" fontId="13" fillId="32" borderId="49" xfId="68" applyFont="1" applyFill="1" applyBorder="1" applyAlignment="1">
      <alignment horizontal="center"/>
      <protection/>
    </xf>
    <xf numFmtId="0" fontId="13" fillId="32" borderId="29" xfId="68" applyFont="1" applyFill="1" applyBorder="1" applyAlignment="1">
      <alignment horizontal="center"/>
      <protection/>
    </xf>
    <xf numFmtId="0" fontId="13" fillId="32" borderId="13" xfId="68" applyFont="1" applyFill="1" applyBorder="1" applyAlignment="1">
      <alignment horizontal="right"/>
      <protection/>
    </xf>
    <xf numFmtId="0" fontId="47" fillId="0" borderId="0" xfId="68" applyFont="1">
      <alignment/>
      <protection/>
    </xf>
    <xf numFmtId="0" fontId="13" fillId="35" borderId="30" xfId="68" applyFont="1" applyFill="1" applyBorder="1" applyAlignment="1">
      <alignment horizontal="left" vertical="top"/>
      <protection/>
    </xf>
    <xf numFmtId="0" fontId="13" fillId="35" borderId="41" xfId="68" applyFont="1" applyFill="1" applyBorder="1" applyAlignment="1">
      <alignment vertical="center" wrapText="1"/>
      <protection/>
    </xf>
    <xf numFmtId="0" fontId="13" fillId="35" borderId="55" xfId="68" applyFont="1" applyFill="1" applyBorder="1" applyAlignment="1">
      <alignment horizontal="center" vertical="center"/>
      <protection/>
    </xf>
    <xf numFmtId="4" fontId="13" fillId="0" borderId="56" xfId="68" applyNumberFormat="1" applyFont="1" applyBorder="1" applyAlignment="1">
      <alignment horizontal="right"/>
      <protection/>
    </xf>
    <xf numFmtId="4" fontId="13" fillId="0" borderId="41" xfId="68" applyNumberFormat="1" applyFont="1" applyBorder="1" applyAlignment="1">
      <alignment horizontal="right"/>
      <protection/>
    </xf>
    <xf numFmtId="4" fontId="13" fillId="0" borderId="30" xfId="68" applyNumberFormat="1" applyFont="1" applyBorder="1" applyAlignment="1">
      <alignment horizontal="right"/>
      <protection/>
    </xf>
    <xf numFmtId="4" fontId="13" fillId="0" borderId="43" xfId="68" applyNumberFormat="1" applyFont="1" applyBorder="1" applyAlignment="1">
      <alignment horizontal="right"/>
      <protection/>
    </xf>
    <xf numFmtId="4" fontId="13" fillId="0" borderId="0" xfId="68" applyNumberFormat="1" applyFont="1" applyBorder="1" applyAlignment="1">
      <alignment horizontal="right"/>
      <protection/>
    </xf>
    <xf numFmtId="4" fontId="13" fillId="0" borderId="0" xfId="68" applyNumberFormat="1" applyFont="1" applyBorder="1">
      <alignment/>
      <protection/>
    </xf>
    <xf numFmtId="4" fontId="13" fillId="0" borderId="23" xfId="68" applyNumberFormat="1" applyFont="1" applyBorder="1" applyAlignment="1">
      <alignment horizontal="right"/>
      <protection/>
    </xf>
    <xf numFmtId="0" fontId="13" fillId="35" borderId="14" xfId="68" applyFont="1" applyFill="1" applyBorder="1" applyAlignment="1">
      <alignment horizontal="left" vertical="top"/>
      <protection/>
    </xf>
    <xf numFmtId="0" fontId="13" fillId="35" borderId="38" xfId="68" applyFont="1" applyFill="1" applyBorder="1" applyAlignment="1">
      <alignment vertical="center" wrapText="1"/>
      <protection/>
    </xf>
    <xf numFmtId="0" fontId="13" fillId="35" borderId="51" xfId="68" applyFont="1" applyFill="1" applyBorder="1" applyAlignment="1">
      <alignment horizontal="center" vertical="center"/>
      <protection/>
    </xf>
    <xf numFmtId="4" fontId="13" fillId="0" borderId="37" xfId="68" applyNumberFormat="1" applyFont="1" applyBorder="1" applyAlignment="1">
      <alignment horizontal="right"/>
      <protection/>
    </xf>
    <xf numFmtId="4" fontId="13" fillId="0" borderId="38" xfId="68" applyNumberFormat="1" applyFont="1" applyBorder="1" applyAlignment="1">
      <alignment horizontal="right"/>
      <protection/>
    </xf>
    <xf numFmtId="4" fontId="13" fillId="0" borderId="14" xfId="68" applyNumberFormat="1" applyFont="1" applyBorder="1" applyAlignment="1">
      <alignment horizontal="right"/>
      <protection/>
    </xf>
    <xf numFmtId="4" fontId="13" fillId="0" borderId="19" xfId="68" applyNumberFormat="1" applyFont="1" applyBorder="1" applyAlignment="1">
      <alignment horizontal="right"/>
      <protection/>
    </xf>
    <xf numFmtId="4" fontId="13" fillId="0" borderId="11" xfId="68" applyNumberFormat="1" applyFont="1" applyBorder="1" applyAlignment="1">
      <alignment horizontal="right"/>
      <protection/>
    </xf>
    <xf numFmtId="4" fontId="47" fillId="0" borderId="0" xfId="68" applyNumberFormat="1" applyFont="1" applyBorder="1" applyAlignment="1">
      <alignment horizontal="right"/>
      <protection/>
    </xf>
    <xf numFmtId="4" fontId="13" fillId="0" borderId="37" xfId="69" applyNumberFormat="1" applyFont="1" applyFill="1" applyBorder="1" applyAlignment="1">
      <alignment horizontal="right"/>
      <protection/>
    </xf>
    <xf numFmtId="4" fontId="13" fillId="0" borderId="14" xfId="69" applyNumberFormat="1" applyFont="1" applyFill="1" applyBorder="1" applyAlignment="1">
      <alignment horizontal="right"/>
      <protection/>
    </xf>
    <xf numFmtId="4" fontId="47" fillId="0" borderId="0" xfId="68" applyNumberFormat="1" applyFont="1" applyBorder="1">
      <alignment/>
      <protection/>
    </xf>
    <xf numFmtId="4" fontId="13" fillId="0" borderId="11" xfId="69" applyNumberFormat="1" applyFont="1" applyFill="1" applyBorder="1" applyAlignment="1">
      <alignment horizontal="right"/>
      <protection/>
    </xf>
    <xf numFmtId="4" fontId="47" fillId="0" borderId="0" xfId="68" applyNumberFormat="1" applyFont="1" applyBorder="1" applyAlignment="1">
      <alignment horizontal="center"/>
      <protection/>
    </xf>
    <xf numFmtId="4" fontId="13" fillId="0" borderId="0" xfId="68" applyNumberFormat="1" applyFont="1" applyBorder="1" applyAlignment="1">
      <alignment horizontal="center"/>
      <protection/>
    </xf>
    <xf numFmtId="4" fontId="13" fillId="0" borderId="37" xfId="74" applyNumberFormat="1" applyFont="1" applyBorder="1" applyAlignment="1">
      <alignment horizontal="right"/>
    </xf>
    <xf numFmtId="4" fontId="13" fillId="0" borderId="14" xfId="74" applyNumberFormat="1" applyFont="1" applyBorder="1" applyAlignment="1">
      <alignment horizontal="right"/>
    </xf>
    <xf numFmtId="4" fontId="13" fillId="0" borderId="11" xfId="74" applyNumberFormat="1" applyFont="1" applyBorder="1" applyAlignment="1">
      <alignment horizontal="right"/>
    </xf>
    <xf numFmtId="4" fontId="13" fillId="0" borderId="37" xfId="68" applyNumberFormat="1" applyFont="1" applyBorder="1">
      <alignment/>
      <protection/>
    </xf>
    <xf numFmtId="4" fontId="13" fillId="0" borderId="14" xfId="68" applyNumberFormat="1" applyFont="1" applyBorder="1">
      <alignment/>
      <protection/>
    </xf>
    <xf numFmtId="4" fontId="13" fillId="0" borderId="0" xfId="68" applyNumberFormat="1" applyFont="1" applyBorder="1" applyAlignment="1">
      <alignment horizontal="left"/>
      <protection/>
    </xf>
    <xf numFmtId="4" fontId="13" fillId="0" borderId="11" xfId="68" applyNumberFormat="1" applyFont="1" applyBorder="1">
      <alignment/>
      <protection/>
    </xf>
    <xf numFmtId="4" fontId="13" fillId="0" borderId="37" xfId="68" applyNumberFormat="1" applyFont="1" applyBorder="1">
      <alignment/>
      <protection/>
    </xf>
    <xf numFmtId="4" fontId="13" fillId="0" borderId="14" xfId="68" applyNumberFormat="1" applyFont="1" applyBorder="1">
      <alignment/>
      <protection/>
    </xf>
    <xf numFmtId="4" fontId="13" fillId="0" borderId="11" xfId="68" applyNumberFormat="1" applyFont="1" applyBorder="1">
      <alignment/>
      <protection/>
    </xf>
    <xf numFmtId="0" fontId="1" fillId="35" borderId="20" xfId="68" applyFont="1" applyFill="1" applyBorder="1" applyAlignment="1">
      <alignment vertical="top" wrapText="1"/>
      <protection/>
    </xf>
    <xf numFmtId="0" fontId="1" fillId="35" borderId="39" xfId="68" applyFont="1" applyFill="1" applyBorder="1" applyAlignment="1">
      <alignment vertical="center" wrapText="1"/>
      <protection/>
    </xf>
    <xf numFmtId="0" fontId="1" fillId="35" borderId="54" xfId="68" applyFont="1" applyFill="1" applyBorder="1" applyAlignment="1">
      <alignment horizontal="center" vertical="center" wrapText="1"/>
      <protection/>
    </xf>
    <xf numFmtId="4" fontId="1" fillId="0" borderId="40" xfId="68" applyNumberFormat="1" applyFont="1" applyBorder="1" applyAlignment="1">
      <alignment wrapText="1"/>
      <protection/>
    </xf>
    <xf numFmtId="4" fontId="1" fillId="0" borderId="39" xfId="68" applyNumberFormat="1" applyFont="1" applyBorder="1" applyAlignment="1">
      <alignment horizontal="right" wrapText="1"/>
      <protection/>
    </xf>
    <xf numFmtId="4" fontId="1" fillId="0" borderId="20" xfId="68" applyNumberFormat="1" applyFont="1" applyBorder="1" applyAlignment="1">
      <alignment wrapText="1"/>
      <protection/>
    </xf>
    <xf numFmtId="4" fontId="1" fillId="0" borderId="29" xfId="68" applyNumberFormat="1" applyFont="1" applyBorder="1" applyAlignment="1">
      <alignment horizontal="right" wrapText="1"/>
      <protection/>
    </xf>
    <xf numFmtId="4" fontId="13" fillId="0" borderId="13" xfId="68" applyNumberFormat="1" applyFont="1" applyBorder="1">
      <alignment/>
      <protection/>
    </xf>
    <xf numFmtId="4" fontId="1" fillId="0" borderId="21" xfId="68" applyNumberFormat="1" applyFont="1" applyBorder="1" applyAlignment="1">
      <alignment wrapText="1"/>
      <protection/>
    </xf>
    <xf numFmtId="182" fontId="13" fillId="0" borderId="0" xfId="74" applyNumberFormat="1" applyFont="1" applyAlignment="1">
      <alignment/>
    </xf>
    <xf numFmtId="0" fontId="1" fillId="0" borderId="23" xfId="68" applyFont="1" applyBorder="1" applyAlignment="1">
      <alignment horizontal="left" wrapText="1"/>
      <protection/>
    </xf>
    <xf numFmtId="0" fontId="1" fillId="0" borderId="23" xfId="68" applyFont="1" applyBorder="1" applyAlignment="1">
      <alignment wrapText="1"/>
      <protection/>
    </xf>
    <xf numFmtId="0" fontId="1" fillId="0" borderId="23" xfId="68" applyFont="1" applyBorder="1" applyAlignment="1">
      <alignment horizontal="center" wrapText="1"/>
      <protection/>
    </xf>
    <xf numFmtId="3" fontId="29" fillId="0" borderId="23" xfId="67" applyNumberFormat="1" applyFont="1" applyBorder="1" applyAlignment="1">
      <alignment wrapText="1"/>
      <protection/>
    </xf>
    <xf numFmtId="0" fontId="13" fillId="0" borderId="11" xfId="68" applyFont="1" applyBorder="1" applyAlignment="1">
      <alignment horizontal="left" vertical="center"/>
      <protection/>
    </xf>
    <xf numFmtId="0" fontId="13" fillId="0" borderId="11" xfId="68" applyFont="1" applyBorder="1" applyAlignment="1">
      <alignment wrapText="1"/>
      <protection/>
    </xf>
    <xf numFmtId="0" fontId="13" fillId="0" borderId="11" xfId="68" applyFont="1" applyBorder="1" applyAlignment="1">
      <alignment horizontal="center"/>
      <protection/>
    </xf>
    <xf numFmtId="3" fontId="29" fillId="0" borderId="11" xfId="67" applyNumberFormat="1" applyFont="1" applyBorder="1" applyAlignment="1">
      <alignment wrapText="1"/>
      <protection/>
    </xf>
    <xf numFmtId="0" fontId="1" fillId="0" borderId="11" xfId="68" applyFont="1" applyBorder="1" applyAlignment="1">
      <alignment wrapText="1"/>
      <protection/>
    </xf>
    <xf numFmtId="0" fontId="1" fillId="0" borderId="11" xfId="68" applyFont="1" applyBorder="1" applyAlignment="1">
      <alignment horizontal="center" wrapText="1"/>
      <protection/>
    </xf>
    <xf numFmtId="3" fontId="1" fillId="0" borderId="11" xfId="68" applyNumberFormat="1" applyFont="1" applyBorder="1" applyAlignment="1">
      <alignment wrapText="1"/>
      <protection/>
    </xf>
    <xf numFmtId="1" fontId="10" fillId="0" borderId="0" xfId="68" applyNumberFormat="1" applyFont="1" applyBorder="1">
      <alignment/>
      <protection/>
    </xf>
    <xf numFmtId="0" fontId="1" fillId="0" borderId="11" xfId="68" applyFont="1" applyBorder="1" applyAlignment="1">
      <alignment horizontal="left" wrapText="1"/>
      <protection/>
    </xf>
    <xf numFmtId="2" fontId="1" fillId="0" borderId="11" xfId="68" applyNumberFormat="1" applyFont="1" applyBorder="1" applyAlignment="1">
      <alignment horizontal="center" wrapText="1"/>
      <protection/>
    </xf>
    <xf numFmtId="2" fontId="13" fillId="0" borderId="11" xfId="68" applyNumberFormat="1" applyFont="1" applyBorder="1" applyAlignment="1">
      <alignment horizontal="center"/>
      <protection/>
    </xf>
    <xf numFmtId="0" fontId="13" fillId="0" borderId="0" xfId="68" applyFont="1" applyBorder="1">
      <alignment/>
      <protection/>
    </xf>
    <xf numFmtId="2" fontId="13" fillId="0" borderId="0" xfId="68" applyNumberFormat="1" applyFont="1" applyBorder="1">
      <alignment/>
      <protection/>
    </xf>
    <xf numFmtId="0" fontId="13" fillId="0" borderId="0" xfId="68" applyFont="1" applyBorder="1" applyAlignment="1">
      <alignment horizontal="left" vertical="center"/>
      <protection/>
    </xf>
    <xf numFmtId="0" fontId="13" fillId="0" borderId="0" xfId="68" applyFont="1" applyBorder="1" applyAlignment="1">
      <alignment wrapText="1"/>
      <protection/>
    </xf>
    <xf numFmtId="2" fontId="13" fillId="0" borderId="0" xfId="68" applyNumberFormat="1" applyFont="1" applyBorder="1" applyAlignment="1">
      <alignment horizontal="center"/>
      <protection/>
    </xf>
    <xf numFmtId="10" fontId="29" fillId="0" borderId="0" xfId="74" applyNumberFormat="1" applyFont="1" applyBorder="1" applyAlignment="1">
      <alignment wrapText="1"/>
    </xf>
    <xf numFmtId="3" fontId="1" fillId="0" borderId="0" xfId="68" applyNumberFormat="1" applyFont="1" applyBorder="1" applyAlignment="1">
      <alignment horizontal="center" wrapText="1"/>
      <protection/>
    </xf>
    <xf numFmtId="0" fontId="40" fillId="0" borderId="0" xfId="68" applyFont="1" applyBorder="1" applyAlignment="1">
      <alignment horizontal="center"/>
      <protection/>
    </xf>
    <xf numFmtId="0" fontId="13" fillId="0" borderId="0" xfId="68" applyFont="1" applyAlignment="1">
      <alignment horizontal="center"/>
      <protection/>
    </xf>
    <xf numFmtId="3" fontId="13" fillId="0" borderId="0" xfId="68" applyNumberFormat="1" applyFont="1">
      <alignment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right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13" fillId="32" borderId="20" xfId="60" applyFont="1" applyFill="1" applyBorder="1" applyAlignment="1">
      <alignment horizontal="center"/>
      <protection/>
    </xf>
    <xf numFmtId="0" fontId="13" fillId="32" borderId="39" xfId="60" applyFont="1" applyFill="1" applyBorder="1" applyAlignment="1">
      <alignment horizontal="center"/>
      <protection/>
    </xf>
    <xf numFmtId="0" fontId="13" fillId="32" borderId="54" xfId="60" applyFont="1" applyFill="1" applyBorder="1" applyAlignment="1">
      <alignment horizontal="center"/>
      <protection/>
    </xf>
    <xf numFmtId="0" fontId="13" fillId="32" borderId="21" xfId="60" applyFont="1" applyFill="1" applyBorder="1" applyAlignment="1">
      <alignment horizontal="center"/>
      <protection/>
    </xf>
    <xf numFmtId="0" fontId="13" fillId="32" borderId="29" xfId="60" applyFont="1" applyFill="1" applyBorder="1" applyAlignment="1">
      <alignment horizontal="center"/>
      <protection/>
    </xf>
    <xf numFmtId="0" fontId="13" fillId="35" borderId="30" xfId="60" applyFont="1" applyFill="1" applyBorder="1" applyAlignment="1">
      <alignment horizontal="center" vertical="center"/>
      <protection/>
    </xf>
    <xf numFmtId="0" fontId="13" fillId="35" borderId="41" xfId="60" applyFont="1" applyFill="1" applyBorder="1" applyAlignment="1">
      <alignment wrapText="1"/>
      <protection/>
    </xf>
    <xf numFmtId="0" fontId="1" fillId="35" borderId="55" xfId="60" applyFont="1" applyFill="1" applyBorder="1" applyAlignment="1">
      <alignment horizontal="center" vertical="center" wrapText="1"/>
      <protection/>
    </xf>
    <xf numFmtId="4" fontId="13" fillId="0" borderId="30" xfId="60" applyNumberFormat="1" applyFont="1" applyBorder="1">
      <alignment/>
      <protection/>
    </xf>
    <xf numFmtId="4" fontId="13" fillId="0" borderId="23" xfId="60" applyNumberFormat="1" applyFont="1" applyBorder="1">
      <alignment/>
      <protection/>
    </xf>
    <xf numFmtId="4" fontId="13" fillId="0" borderId="43" xfId="60" applyNumberFormat="1" applyFont="1" applyBorder="1">
      <alignment/>
      <protection/>
    </xf>
    <xf numFmtId="0" fontId="13" fillId="0" borderId="0" xfId="60" applyFont="1" applyBorder="1" applyAlignment="1">
      <alignment horizontal="right"/>
      <protection/>
    </xf>
    <xf numFmtId="0" fontId="13" fillId="35" borderId="14" xfId="60" applyFont="1" applyFill="1" applyBorder="1" applyAlignment="1">
      <alignment horizontal="center" vertical="center"/>
      <protection/>
    </xf>
    <xf numFmtId="0" fontId="13" fillId="35" borderId="38" xfId="60" applyFont="1" applyFill="1" applyBorder="1" applyAlignment="1">
      <alignment wrapText="1"/>
      <protection/>
    </xf>
    <xf numFmtId="0" fontId="13" fillId="35" borderId="51" xfId="60" applyFont="1" applyFill="1" applyBorder="1" applyAlignment="1">
      <alignment horizontal="center" vertical="center"/>
      <protection/>
    </xf>
    <xf numFmtId="4" fontId="13" fillId="0" borderId="14" xfId="60" applyNumberFormat="1" applyFont="1" applyBorder="1">
      <alignment/>
      <protection/>
    </xf>
    <xf numFmtId="4" fontId="13" fillId="0" borderId="11" xfId="60" applyNumberFormat="1" applyFont="1" applyBorder="1">
      <alignment/>
      <protection/>
    </xf>
    <xf numFmtId="4" fontId="13" fillId="0" borderId="19" xfId="60" applyNumberFormat="1" applyFont="1" applyBorder="1">
      <alignment/>
      <protection/>
    </xf>
    <xf numFmtId="0" fontId="15" fillId="0" borderId="0" xfId="60" applyFont="1">
      <alignment/>
      <protection/>
    </xf>
    <xf numFmtId="0" fontId="13" fillId="35" borderId="51" xfId="60" applyFont="1" applyFill="1" applyBorder="1" applyAlignment="1">
      <alignment horizontal="center"/>
      <protection/>
    </xf>
    <xf numFmtId="3" fontId="15" fillId="0" borderId="0" xfId="60" applyNumberFormat="1" applyFont="1">
      <alignment/>
      <protection/>
    </xf>
    <xf numFmtId="0" fontId="13" fillId="35" borderId="38" xfId="68" applyFont="1" applyFill="1" applyBorder="1" applyAlignment="1">
      <alignment wrapText="1"/>
      <protection/>
    </xf>
    <xf numFmtId="183" fontId="13" fillId="0" borderId="14" xfId="74" applyNumberFormat="1" applyFont="1" applyBorder="1" applyAlignment="1">
      <alignment/>
    </xf>
    <xf numFmtId="183" fontId="13" fillId="0" borderId="11" xfId="74" applyNumberFormat="1" applyFont="1" applyBorder="1" applyAlignment="1">
      <alignment/>
    </xf>
    <xf numFmtId="183" fontId="13" fillId="0" borderId="19" xfId="74" applyNumberFormat="1" applyFont="1" applyBorder="1" applyAlignment="1">
      <alignment/>
    </xf>
    <xf numFmtId="0" fontId="13" fillId="35" borderId="20" xfId="60" applyFont="1" applyFill="1" applyBorder="1" applyAlignment="1">
      <alignment horizontal="center" vertical="center"/>
      <protection/>
    </xf>
    <xf numFmtId="0" fontId="13" fillId="35" borderId="39" xfId="60" applyFont="1" applyFill="1" applyBorder="1" applyAlignment="1">
      <alignment wrapText="1"/>
      <protection/>
    </xf>
    <xf numFmtId="0" fontId="13" fillId="35" borderId="54" xfId="60" applyFont="1" applyFill="1" applyBorder="1" applyAlignment="1">
      <alignment horizontal="center" vertical="center"/>
      <protection/>
    </xf>
    <xf numFmtId="4" fontId="13" fillId="0" borderId="20" xfId="60" applyNumberFormat="1" applyFont="1" applyBorder="1">
      <alignment/>
      <protection/>
    </xf>
    <xf numFmtId="4" fontId="13" fillId="0" borderId="21" xfId="60" applyNumberFormat="1" applyFont="1" applyBorder="1">
      <alignment/>
      <protection/>
    </xf>
    <xf numFmtId="4" fontId="13" fillId="0" borderId="40" xfId="60" applyNumberFormat="1" applyFont="1" applyBorder="1">
      <alignment/>
      <protection/>
    </xf>
    <xf numFmtId="16" fontId="13" fillId="0" borderId="23" xfId="60" applyNumberFormat="1" applyFont="1" applyBorder="1" applyAlignment="1">
      <alignment horizontal="center" vertical="center"/>
      <protection/>
    </xf>
    <xf numFmtId="0" fontId="13" fillId="0" borderId="23" xfId="60" applyFont="1" applyBorder="1" applyAlignment="1">
      <alignment wrapText="1"/>
      <protection/>
    </xf>
    <xf numFmtId="0" fontId="13" fillId="0" borderId="23" xfId="60" applyFont="1" applyBorder="1" applyAlignment="1">
      <alignment horizontal="center"/>
      <protection/>
    </xf>
    <xf numFmtId="175" fontId="48" fillId="0" borderId="23" xfId="60" applyNumberFormat="1" applyFont="1" applyFill="1" applyBorder="1">
      <alignment/>
      <protection/>
    </xf>
    <xf numFmtId="0" fontId="13" fillId="0" borderId="11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wrapText="1"/>
      <protection/>
    </xf>
    <xf numFmtId="0" fontId="13" fillId="0" borderId="11" xfId="60" applyFont="1" applyBorder="1" applyAlignment="1">
      <alignment horizontal="center"/>
      <protection/>
    </xf>
    <xf numFmtId="1" fontId="48" fillId="0" borderId="11" xfId="60" applyNumberFormat="1" applyFont="1" applyFill="1" applyBorder="1">
      <alignment/>
      <protection/>
    </xf>
    <xf numFmtId="175" fontId="48" fillId="0" borderId="11" xfId="60" applyNumberFormat="1" applyFont="1" applyFill="1" applyBorder="1">
      <alignment/>
      <protection/>
    </xf>
    <xf numFmtId="0" fontId="13" fillId="0" borderId="0" xfId="60" applyFont="1" applyAlignment="1">
      <alignment horizontal="center"/>
      <protection/>
    </xf>
    <xf numFmtId="0" fontId="40" fillId="0" borderId="0" xfId="60" applyFont="1" applyAlignment="1">
      <alignment horizontal="left"/>
      <protection/>
    </xf>
    <xf numFmtId="4" fontId="13" fillId="0" borderId="0" xfId="60" applyNumberFormat="1" applyFont="1" applyAlignment="1">
      <alignment horizontal="center"/>
      <protection/>
    </xf>
    <xf numFmtId="0" fontId="38" fillId="0" borderId="0" xfId="67" applyFont="1" applyAlignment="1">
      <alignment horizontal="center"/>
      <protection/>
    </xf>
    <xf numFmtId="0" fontId="38" fillId="0" borderId="0" xfId="67" applyFont="1" applyBorder="1" applyAlignment="1">
      <alignment horizontal="center"/>
      <protection/>
    </xf>
    <xf numFmtId="0" fontId="13" fillId="32" borderId="57" xfId="67" applyFill="1" applyBorder="1" applyAlignment="1">
      <alignment horizontal="center" vertical="center" wrapText="1"/>
      <protection/>
    </xf>
    <xf numFmtId="0" fontId="13" fillId="32" borderId="58" xfId="67" applyFill="1" applyBorder="1" applyAlignment="1">
      <alignment horizontal="center" vertical="center" wrapText="1"/>
      <protection/>
    </xf>
    <xf numFmtId="0" fontId="13" fillId="32" borderId="55" xfId="67" applyFill="1" applyBorder="1" applyAlignment="1">
      <alignment horizontal="center" vertical="center" wrapText="1"/>
      <protection/>
    </xf>
    <xf numFmtId="0" fontId="13" fillId="32" borderId="14" xfId="67" applyFill="1" applyBorder="1" applyAlignment="1">
      <alignment horizontal="center"/>
      <protection/>
    </xf>
    <xf numFmtId="0" fontId="13" fillId="32" borderId="11" xfId="67" applyFill="1" applyBorder="1" applyAlignment="1">
      <alignment horizontal="center"/>
      <protection/>
    </xf>
    <xf numFmtId="0" fontId="13" fillId="32" borderId="23" xfId="67" applyFill="1" applyBorder="1" applyAlignment="1">
      <alignment horizontal="center"/>
      <protection/>
    </xf>
    <xf numFmtId="0" fontId="13" fillId="32" borderId="19" xfId="67" applyFill="1" applyBorder="1" applyAlignment="1">
      <alignment horizontal="center"/>
      <protection/>
    </xf>
    <xf numFmtId="0" fontId="13" fillId="32" borderId="37" xfId="67" applyFill="1" applyBorder="1" applyAlignment="1">
      <alignment horizontal="center"/>
      <protection/>
    </xf>
    <xf numFmtId="0" fontId="14" fillId="32" borderId="20" xfId="67" applyFont="1" applyFill="1" applyBorder="1" applyAlignment="1">
      <alignment horizontal="center"/>
      <protection/>
    </xf>
    <xf numFmtId="0" fontId="14" fillId="32" borderId="39" xfId="67" applyFont="1" applyFill="1" applyBorder="1" applyAlignment="1">
      <alignment horizontal="center"/>
      <protection/>
    </xf>
    <xf numFmtId="0" fontId="14" fillId="32" borderId="54" xfId="67" applyFont="1" applyFill="1" applyBorder="1" applyAlignment="1">
      <alignment horizontal="center"/>
      <protection/>
    </xf>
    <xf numFmtId="0" fontId="14" fillId="32" borderId="21" xfId="67" applyFont="1" applyFill="1" applyBorder="1" applyAlignment="1">
      <alignment horizontal="center"/>
      <protection/>
    </xf>
    <xf numFmtId="0" fontId="14" fillId="32" borderId="29" xfId="67" applyFont="1" applyFill="1" applyBorder="1" applyAlignment="1">
      <alignment horizontal="center"/>
      <protection/>
    </xf>
    <xf numFmtId="0" fontId="14" fillId="32" borderId="37" xfId="67" applyFont="1" applyFill="1" applyBorder="1" applyAlignment="1">
      <alignment horizontal="center"/>
      <protection/>
    </xf>
    <xf numFmtId="0" fontId="14" fillId="32" borderId="11" xfId="67" applyFont="1" applyFill="1" applyBorder="1" applyAlignment="1">
      <alignment horizontal="center"/>
      <protection/>
    </xf>
    <xf numFmtId="0" fontId="13" fillId="35" borderId="30" xfId="67" applyFont="1" applyFill="1" applyBorder="1" applyAlignment="1">
      <alignment vertical="top" wrapText="1"/>
      <protection/>
    </xf>
    <xf numFmtId="0" fontId="13" fillId="35" borderId="41" xfId="67" applyFont="1" applyFill="1" applyBorder="1" applyAlignment="1">
      <alignment vertical="top" wrapText="1"/>
      <protection/>
    </xf>
    <xf numFmtId="0" fontId="13" fillId="35" borderId="55" xfId="67" applyFont="1" applyFill="1" applyBorder="1" applyAlignment="1">
      <alignment horizontal="center" vertical="center" wrapText="1"/>
      <protection/>
    </xf>
    <xf numFmtId="175" fontId="13" fillId="0" borderId="30" xfId="67" applyNumberFormat="1" applyFont="1" applyBorder="1" applyAlignment="1">
      <alignment vertical="center" wrapText="1"/>
      <protection/>
    </xf>
    <xf numFmtId="175" fontId="13" fillId="0" borderId="23" xfId="67" applyNumberFormat="1" applyFont="1" applyBorder="1" applyAlignment="1">
      <alignment vertical="center" wrapText="1"/>
      <protection/>
    </xf>
    <xf numFmtId="175" fontId="13" fillId="0" borderId="43" xfId="67" applyNumberFormat="1" applyFont="1" applyBorder="1" applyAlignment="1">
      <alignment vertical="center" wrapText="1"/>
      <protection/>
    </xf>
    <xf numFmtId="0" fontId="13" fillId="0" borderId="37" xfId="67" applyBorder="1" applyAlignment="1">
      <alignment wrapText="1"/>
      <protection/>
    </xf>
    <xf numFmtId="0" fontId="13" fillId="0" borderId="11" xfId="67" applyBorder="1" applyAlignment="1">
      <alignment wrapText="1"/>
      <protection/>
    </xf>
    <xf numFmtId="0" fontId="13" fillId="35" borderId="14" xfId="67" applyFont="1" applyFill="1" applyBorder="1" applyAlignment="1">
      <alignment vertical="top" wrapText="1"/>
      <protection/>
    </xf>
    <xf numFmtId="0" fontId="13" fillId="35" borderId="38" xfId="67" applyFont="1" applyFill="1" applyBorder="1" applyAlignment="1">
      <alignment vertical="top" wrapText="1"/>
      <protection/>
    </xf>
    <xf numFmtId="0" fontId="13" fillId="35" borderId="51" xfId="67" applyFont="1" applyFill="1" applyBorder="1" applyAlignment="1">
      <alignment horizontal="center" vertical="center" wrapText="1"/>
      <protection/>
    </xf>
    <xf numFmtId="175" fontId="13" fillId="0" borderId="14" xfId="67" applyNumberFormat="1" applyFont="1" applyBorder="1" applyAlignment="1">
      <alignment vertical="center" wrapText="1"/>
      <protection/>
    </xf>
    <xf numFmtId="175" fontId="13" fillId="0" borderId="11" xfId="67" applyNumberFormat="1" applyFont="1" applyBorder="1" applyAlignment="1">
      <alignment vertical="center" wrapText="1"/>
      <protection/>
    </xf>
    <xf numFmtId="175" fontId="13" fillId="0" borderId="19" xfId="67" applyNumberFormat="1" applyFont="1" applyBorder="1" applyAlignment="1">
      <alignment vertical="center" wrapText="1"/>
      <protection/>
    </xf>
    <xf numFmtId="0" fontId="14" fillId="35" borderId="51" xfId="67" applyFont="1" applyFill="1" applyBorder="1" applyAlignment="1">
      <alignment horizontal="center" vertical="center" wrapText="1"/>
      <protection/>
    </xf>
    <xf numFmtId="0" fontId="13" fillId="0" borderId="11" xfId="67" applyFont="1" applyBorder="1" applyAlignment="1">
      <alignment vertical="center" wrapText="1"/>
      <protection/>
    </xf>
    <xf numFmtId="0" fontId="13" fillId="0" borderId="14" xfId="67" applyFont="1" applyBorder="1" applyAlignment="1">
      <alignment vertical="center" wrapText="1"/>
      <protection/>
    </xf>
    <xf numFmtId="0" fontId="13" fillId="0" borderId="19" xfId="67" applyFont="1" applyBorder="1" applyAlignment="1">
      <alignment vertical="center" wrapText="1"/>
      <protection/>
    </xf>
    <xf numFmtId="0" fontId="13" fillId="0" borderId="11" xfId="67" applyFont="1" applyBorder="1" applyAlignment="1">
      <alignment horizontal="center" vertical="center" wrapText="1"/>
      <protection/>
    </xf>
    <xf numFmtId="0" fontId="13" fillId="35" borderId="20" xfId="67" applyFont="1" applyFill="1" applyBorder="1" applyAlignment="1">
      <alignment vertical="top" wrapText="1"/>
      <protection/>
    </xf>
    <xf numFmtId="0" fontId="13" fillId="35" borderId="39" xfId="67" applyFont="1" applyFill="1" applyBorder="1" applyAlignment="1">
      <alignment vertical="top" wrapText="1"/>
      <protection/>
    </xf>
    <xf numFmtId="0" fontId="14" fillId="35" borderId="54" xfId="67" applyFont="1" applyFill="1" applyBorder="1" applyAlignment="1">
      <alignment horizontal="center" vertical="center" wrapText="1"/>
      <protection/>
    </xf>
    <xf numFmtId="0" fontId="13" fillId="0" borderId="21" xfId="67" applyFont="1" applyBorder="1" applyAlignment="1">
      <alignment vertical="center" wrapText="1"/>
      <protection/>
    </xf>
    <xf numFmtId="0" fontId="13" fillId="0" borderId="37" xfId="67" applyBorder="1">
      <alignment/>
      <protection/>
    </xf>
    <xf numFmtId="0" fontId="13" fillId="0" borderId="0" xfId="67" applyFont="1" applyBorder="1" applyAlignment="1">
      <alignment wrapText="1"/>
      <protection/>
    </xf>
    <xf numFmtId="0" fontId="14" fillId="0" borderId="0" xfId="67" applyFont="1" applyBorder="1" applyAlignment="1">
      <alignment horizontal="center" wrapText="1"/>
      <protection/>
    </xf>
    <xf numFmtId="0" fontId="13" fillId="0" borderId="0" xfId="67" applyBorder="1" applyAlignment="1">
      <alignment wrapText="1"/>
      <protection/>
    </xf>
    <xf numFmtId="49" fontId="29" fillId="0" borderId="0" xfId="69" applyNumberFormat="1" applyFont="1" applyFill="1" applyAlignment="1">
      <alignment horizontal="center" vertical="center" wrapText="1"/>
      <protection/>
    </xf>
    <xf numFmtId="49" fontId="1" fillId="0" borderId="0" xfId="69" applyNumberFormat="1" applyFont="1" applyFill="1" applyAlignment="1">
      <alignment horizontal="right" vertical="center" wrapText="1"/>
      <protection/>
    </xf>
    <xf numFmtId="0" fontId="29" fillId="0" borderId="0" xfId="69" applyFont="1" applyFill="1" applyAlignment="1">
      <alignment horizontal="center" vertical="center" wrapText="1"/>
      <protection/>
    </xf>
    <xf numFmtId="0" fontId="42" fillId="0" borderId="0" xfId="69" applyFont="1" applyFill="1">
      <alignment/>
      <protection/>
    </xf>
    <xf numFmtId="0" fontId="13" fillId="0" borderId="0" xfId="69" applyFont="1" applyFill="1">
      <alignment/>
      <protection/>
    </xf>
    <xf numFmtId="0" fontId="15" fillId="0" borderId="0" xfId="69" applyFont="1" applyFill="1">
      <alignment/>
      <protection/>
    </xf>
    <xf numFmtId="0" fontId="113" fillId="0" borderId="0" xfId="69" applyFont="1" applyFill="1">
      <alignment/>
      <protection/>
    </xf>
    <xf numFmtId="0" fontId="49" fillId="0" borderId="0" xfId="56" applyFont="1" applyFill="1" applyBorder="1" applyAlignment="1">
      <alignment/>
      <protection/>
    </xf>
    <xf numFmtId="0" fontId="40" fillId="0" borderId="0" xfId="69" applyFont="1" applyFill="1">
      <alignment/>
      <protection/>
    </xf>
    <xf numFmtId="49" fontId="51" fillId="0" borderId="27" xfId="48" applyNumberFormat="1" applyFont="1" applyFill="1" applyBorder="1" applyAlignment="1">
      <alignment horizontal="center" vertical="center" wrapText="1"/>
      <protection/>
    </xf>
    <xf numFmtId="0" fontId="51" fillId="0" borderId="12" xfId="48" applyFont="1" applyFill="1" applyBorder="1" applyAlignment="1">
      <alignment horizontal="center" vertical="center" wrapText="1"/>
      <protection/>
    </xf>
    <xf numFmtId="0" fontId="49" fillId="0" borderId="0" xfId="56" applyFont="1" applyFill="1">
      <alignment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49" fillId="0" borderId="0" xfId="56" applyFont="1" applyFill="1" applyBorder="1">
      <alignment/>
      <protection/>
    </xf>
    <xf numFmtId="0" fontId="26" fillId="0" borderId="14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vertical="center" wrapText="1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0" fontId="26" fillId="0" borderId="19" xfId="56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2" fontId="26" fillId="0" borderId="11" xfId="56" applyNumberFormat="1" applyFont="1" applyFill="1" applyBorder="1" applyAlignment="1">
      <alignment horizontal="center" vertical="center" wrapText="1"/>
      <protection/>
    </xf>
    <xf numFmtId="192" fontId="26" fillId="0" borderId="11" xfId="56" applyNumberFormat="1" applyFont="1" applyFill="1" applyBorder="1" applyAlignment="1">
      <alignment horizontal="center" vertical="center" wrapText="1"/>
      <protection/>
    </xf>
    <xf numFmtId="192" fontId="26" fillId="0" borderId="19" xfId="56" applyNumberFormat="1" applyFont="1" applyFill="1" applyBorder="1" applyAlignment="1">
      <alignment horizontal="center" vertical="center" wrapText="1"/>
      <protection/>
    </xf>
    <xf numFmtId="0" fontId="26" fillId="0" borderId="20" xfId="56" applyFont="1" applyFill="1" applyBorder="1" applyAlignment="1">
      <alignment horizontal="center" vertical="center" wrapText="1"/>
      <protection/>
    </xf>
    <xf numFmtId="0" fontId="26" fillId="0" borderId="21" xfId="56" applyFont="1" applyFill="1" applyBorder="1" applyAlignment="1">
      <alignment vertical="center" wrapText="1"/>
      <protection/>
    </xf>
    <xf numFmtId="181" fontId="26" fillId="0" borderId="21" xfId="56" applyNumberFormat="1" applyFont="1" applyFill="1" applyBorder="1" applyAlignment="1">
      <alignment horizontal="center" vertical="center" wrapText="1"/>
      <protection/>
    </xf>
    <xf numFmtId="181" fontId="26" fillId="0" borderId="29" xfId="56" applyNumberFormat="1" applyFont="1" applyFill="1" applyBorder="1" applyAlignment="1">
      <alignment horizontal="center" vertical="center" wrapText="1"/>
      <protection/>
    </xf>
    <xf numFmtId="0" fontId="114" fillId="0" borderId="0" xfId="56" applyFont="1" applyFill="1">
      <alignment/>
      <protection/>
    </xf>
    <xf numFmtId="0" fontId="52" fillId="0" borderId="59" xfId="54" applyFont="1" applyFill="1" applyBorder="1" applyAlignment="1">
      <alignment horizontal="center" vertical="center" wrapText="1"/>
      <protection/>
    </xf>
    <xf numFmtId="0" fontId="26" fillId="0" borderId="37" xfId="56" applyFont="1" applyFill="1" applyBorder="1" applyAlignment="1">
      <alignment horizontal="center" vertical="center" wrapText="1"/>
      <protection/>
    </xf>
    <xf numFmtId="49" fontId="26" fillId="0" borderId="14" xfId="54" applyNumberFormat="1" applyFont="1" applyFill="1" applyBorder="1" applyAlignment="1">
      <alignment horizontal="center" vertical="center" wrapText="1"/>
      <protection/>
    </xf>
    <xf numFmtId="0" fontId="51" fillId="0" borderId="11" xfId="54" applyFont="1" applyFill="1" applyBorder="1" applyAlignment="1">
      <alignment vertical="center" wrapText="1"/>
      <protection/>
    </xf>
    <xf numFmtId="0" fontId="51" fillId="0" borderId="38" xfId="54" applyFont="1" applyFill="1" applyBorder="1" applyAlignment="1">
      <alignment horizontal="center" vertical="center" wrapText="1"/>
      <protection/>
    </xf>
    <xf numFmtId="0" fontId="51" fillId="0" borderId="11" xfId="54" applyFont="1" applyFill="1" applyBorder="1" applyAlignment="1">
      <alignment horizontal="center" vertical="center" wrapText="1"/>
      <protection/>
    </xf>
    <xf numFmtId="4" fontId="51" fillId="0" borderId="37" xfId="81" applyNumberFormat="1" applyFont="1" applyFill="1" applyBorder="1" applyAlignment="1">
      <alignment horizontal="center" vertical="center" wrapText="1"/>
      <protection/>
    </xf>
    <xf numFmtId="4" fontId="51" fillId="0" borderId="11" xfId="81" applyNumberFormat="1" applyFont="1" applyFill="1" applyBorder="1" applyAlignment="1">
      <alignment horizontal="center" vertical="center" wrapText="1"/>
      <protection/>
    </xf>
    <xf numFmtId="0" fontId="49" fillId="0" borderId="37" xfId="56" applyFont="1" applyFill="1" applyBorder="1">
      <alignment/>
      <protection/>
    </xf>
    <xf numFmtId="4" fontId="51" fillId="0" borderId="11" xfId="54" applyNumberFormat="1" applyFont="1" applyFill="1" applyBorder="1" applyAlignment="1">
      <alignment horizontal="center" vertical="center" wrapText="1"/>
      <protection/>
    </xf>
    <xf numFmtId="4" fontId="26" fillId="0" borderId="19" xfId="56" applyNumberFormat="1" applyFont="1" applyFill="1" applyBorder="1" applyAlignment="1">
      <alignment horizontal="center" vertical="center"/>
      <protection/>
    </xf>
    <xf numFmtId="0" fontId="51" fillId="0" borderId="11" xfId="54" applyFont="1" applyFill="1" applyBorder="1" applyAlignment="1">
      <alignment horizontal="left" vertical="center" wrapText="1"/>
      <protection/>
    </xf>
    <xf numFmtId="0" fontId="26" fillId="0" borderId="11" xfId="54" applyFont="1" applyFill="1" applyBorder="1" applyAlignment="1">
      <alignment horizontal="left" vertical="center" wrapText="1"/>
      <protection/>
    </xf>
    <xf numFmtId="0" fontId="26" fillId="0" borderId="38" xfId="54" applyFont="1" applyFill="1" applyBorder="1" applyAlignment="1">
      <alignment horizontal="center" vertical="center" wrapText="1"/>
      <protection/>
    </xf>
    <xf numFmtId="4" fontId="26" fillId="0" borderId="11" xfId="54" applyNumberFormat="1" applyFont="1" applyFill="1" applyBorder="1" applyAlignment="1">
      <alignment horizontal="center" vertical="center" wrapText="1"/>
      <protection/>
    </xf>
    <xf numFmtId="49" fontId="26" fillId="0" borderId="25" xfId="54" applyNumberFormat="1" applyFont="1" applyFill="1" applyBorder="1" applyAlignment="1">
      <alignment horizontal="center" vertical="center" wrapText="1"/>
      <protection/>
    </xf>
    <xf numFmtId="0" fontId="26" fillId="0" borderId="42" xfId="54" applyFont="1" applyFill="1" applyBorder="1" applyAlignment="1">
      <alignment horizontal="center" vertical="center" wrapText="1"/>
      <protection/>
    </xf>
    <xf numFmtId="4" fontId="26" fillId="0" borderId="23" xfId="54" applyNumberFormat="1" applyFont="1" applyFill="1" applyBorder="1" applyAlignment="1">
      <alignment horizontal="center" vertical="center" wrapText="1"/>
      <protection/>
    </xf>
    <xf numFmtId="0" fontId="51" fillId="0" borderId="22" xfId="54" applyFont="1" applyFill="1" applyBorder="1" applyAlignment="1">
      <alignment horizontal="left" vertical="center" wrapText="1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49" fillId="0" borderId="60" xfId="56" applyFont="1" applyFill="1" applyBorder="1">
      <alignment/>
      <protection/>
    </xf>
    <xf numFmtId="0" fontId="26" fillId="0" borderId="0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center" vertical="center" wrapText="1"/>
      <protection/>
    </xf>
    <xf numFmtId="0" fontId="49" fillId="0" borderId="40" xfId="56" applyFont="1" applyFill="1" applyBorder="1">
      <alignment/>
      <protection/>
    </xf>
    <xf numFmtId="49" fontId="54" fillId="0" borderId="61" xfId="54" applyNumberFormat="1" applyFont="1" applyFill="1" applyBorder="1" applyAlignment="1">
      <alignment horizontal="center" vertical="center" wrapText="1"/>
      <protection/>
    </xf>
    <xf numFmtId="0" fontId="52" fillId="0" borderId="17" xfId="54" applyFont="1" applyFill="1" applyBorder="1" applyAlignment="1">
      <alignment vertical="center" wrapText="1"/>
      <protection/>
    </xf>
    <xf numFmtId="0" fontId="52" fillId="0" borderId="18" xfId="54" applyFont="1" applyFill="1" applyBorder="1" applyAlignment="1">
      <alignment horizontal="center" vertical="center" wrapText="1"/>
      <protection/>
    </xf>
    <xf numFmtId="4" fontId="52" fillId="0" borderId="17" xfId="54" applyNumberFormat="1" applyFont="1" applyFill="1" applyBorder="1" applyAlignment="1">
      <alignment horizontal="center" vertical="center" wrapText="1"/>
      <protection/>
    </xf>
    <xf numFmtId="4" fontId="25" fillId="0" borderId="62" xfId="81" applyNumberFormat="1" applyFont="1" applyFill="1" applyBorder="1" applyAlignment="1">
      <alignment horizontal="center" vertical="center" wrapText="1"/>
      <protection/>
    </xf>
    <xf numFmtId="4" fontId="25" fillId="0" borderId="63" xfId="81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0" fontId="26" fillId="0" borderId="0" xfId="54" applyFont="1" applyFill="1" applyAlignment="1">
      <alignment vertical="center" wrapText="1"/>
      <protection/>
    </xf>
    <xf numFmtId="0" fontId="52" fillId="0" borderId="13" xfId="54" applyFont="1" applyFill="1" applyBorder="1" applyAlignment="1">
      <alignment horizontal="center" vertical="center" wrapText="1"/>
      <protection/>
    </xf>
    <xf numFmtId="49" fontId="26" fillId="0" borderId="14" xfId="48" applyNumberFormat="1" applyFont="1" applyFill="1" applyBorder="1" applyAlignment="1">
      <alignment horizontal="center" vertical="center" wrapText="1"/>
      <protection/>
    </xf>
    <xf numFmtId="0" fontId="51" fillId="0" borderId="11" xfId="48" applyFont="1" applyFill="1" applyBorder="1" applyAlignment="1">
      <alignment horizontal="left" vertical="center" wrapText="1"/>
      <protection/>
    </xf>
    <xf numFmtId="0" fontId="51" fillId="0" borderId="38" xfId="48" applyFont="1" applyFill="1" applyBorder="1" applyAlignment="1">
      <alignment horizontal="center" vertical="center" wrapText="1"/>
      <protection/>
    </xf>
    <xf numFmtId="4" fontId="51" fillId="0" borderId="11" xfId="48" applyNumberFormat="1" applyFont="1" applyFill="1" applyBorder="1" applyAlignment="1">
      <alignment horizontal="center" vertical="center" wrapText="1"/>
      <protection/>
    </xf>
    <xf numFmtId="4" fontId="51" fillId="0" borderId="37" xfId="48" applyNumberFormat="1" applyFont="1" applyFill="1" applyBorder="1" applyAlignment="1" applyProtection="1">
      <alignment horizontal="center" vertical="center" wrapText="1"/>
      <protection locked="0"/>
    </xf>
    <xf numFmtId="4" fontId="51" fillId="0" borderId="11" xfId="48" applyNumberFormat="1" applyFont="1" applyFill="1" applyBorder="1" applyAlignment="1" applyProtection="1">
      <alignment horizontal="center" vertical="center" wrapText="1"/>
      <protection locked="0"/>
    </xf>
    <xf numFmtId="4" fontId="26" fillId="0" borderId="38" xfId="48" applyNumberFormat="1" applyFont="1" applyFill="1" applyBorder="1" applyAlignment="1" applyProtection="1">
      <alignment horizontal="center" vertical="center" wrapText="1"/>
      <protection locked="0"/>
    </xf>
    <xf numFmtId="4" fontId="26" fillId="0" borderId="37" xfId="56" applyNumberFormat="1" applyFont="1" applyFill="1" applyBorder="1" applyAlignment="1">
      <alignment horizontal="center" vertical="center"/>
      <protection/>
    </xf>
    <xf numFmtId="0" fontId="51" fillId="0" borderId="11" xfId="48" applyFont="1" applyFill="1" applyBorder="1" applyAlignment="1">
      <alignment horizontal="center" vertical="center" wrapText="1"/>
      <protection/>
    </xf>
    <xf numFmtId="4" fontId="26" fillId="0" borderId="11" xfId="48" applyNumberFormat="1" applyFont="1" applyFill="1" applyBorder="1" applyAlignment="1" applyProtection="1">
      <alignment horizontal="center" vertical="center" wrapText="1"/>
      <protection locked="0"/>
    </xf>
    <xf numFmtId="4" fontId="115" fillId="0" borderId="19" xfId="56" applyNumberFormat="1" applyFont="1" applyFill="1" applyBorder="1" applyAlignment="1">
      <alignment horizontal="center" vertical="center"/>
      <protection/>
    </xf>
    <xf numFmtId="49" fontId="26" fillId="0" borderId="14" xfId="54" applyNumberFormat="1" applyFont="1" applyFill="1" applyBorder="1" applyAlignment="1">
      <alignment horizontal="center" vertical="center"/>
      <protection/>
    </xf>
    <xf numFmtId="4" fontId="26" fillId="0" borderId="19" xfId="48" applyNumberFormat="1" applyFont="1" applyFill="1" applyBorder="1" applyAlignment="1" applyProtection="1">
      <alignment horizontal="center" vertical="center" wrapText="1"/>
      <protection locked="0"/>
    </xf>
    <xf numFmtId="0" fontId="55" fillId="0" borderId="11" xfId="54" applyFont="1" applyFill="1" applyBorder="1" applyAlignment="1">
      <alignment horizontal="left" vertical="center" wrapText="1"/>
      <protection/>
    </xf>
    <xf numFmtId="49" fontId="26" fillId="0" borderId="20" xfId="54" applyNumberFormat="1" applyFont="1" applyFill="1" applyBorder="1" applyAlignment="1">
      <alignment horizontal="center" vertical="center"/>
      <protection/>
    </xf>
    <xf numFmtId="0" fontId="51" fillId="0" borderId="21" xfId="54" applyFont="1" applyFill="1" applyBorder="1" applyAlignment="1">
      <alignment vertical="center" wrapText="1"/>
      <protection/>
    </xf>
    <xf numFmtId="0" fontId="51" fillId="0" borderId="39" xfId="54" applyFont="1" applyFill="1" applyBorder="1" applyAlignment="1">
      <alignment horizontal="center" vertical="center" wrapText="1"/>
      <protection/>
    </xf>
    <xf numFmtId="0" fontId="51" fillId="0" borderId="21" xfId="54" applyFont="1" applyFill="1" applyBorder="1" applyAlignment="1">
      <alignment horizontal="center" vertical="center" wrapText="1"/>
      <protection/>
    </xf>
    <xf numFmtId="4" fontId="51" fillId="0" borderId="22" xfId="48" applyNumberFormat="1" applyFont="1" applyFill="1" applyBorder="1" applyAlignment="1" applyProtection="1">
      <alignment horizontal="center" vertical="center" wrapText="1"/>
      <protection locked="0"/>
    </xf>
    <xf numFmtId="4" fontId="26" fillId="0" borderId="45" xfId="48" applyNumberFormat="1" applyFont="1" applyFill="1" applyBorder="1" applyAlignment="1" applyProtection="1">
      <alignment horizontal="center" vertical="center" wrapText="1"/>
      <protection locked="0"/>
    </xf>
    <xf numFmtId="0" fontId="114" fillId="0" borderId="35" xfId="56" applyFont="1" applyFill="1" applyBorder="1">
      <alignment/>
      <protection/>
    </xf>
    <xf numFmtId="4" fontId="26" fillId="0" borderId="60" xfId="56" applyNumberFormat="1" applyFont="1" applyFill="1" applyBorder="1" applyAlignment="1">
      <alignment horizontal="center" vertical="center"/>
      <protection/>
    </xf>
    <xf numFmtId="49" fontId="52" fillId="0" borderId="64" xfId="54" applyNumberFormat="1" applyFont="1" applyFill="1" applyBorder="1" applyAlignment="1">
      <alignment horizontal="center" vertical="center"/>
      <protection/>
    </xf>
    <xf numFmtId="0" fontId="52" fillId="0" borderId="15" xfId="54" applyFont="1" applyFill="1" applyBorder="1" applyAlignment="1">
      <alignment vertical="center" wrapText="1"/>
      <protection/>
    </xf>
    <xf numFmtId="4" fontId="52" fillId="0" borderId="18" xfId="54" applyNumberFormat="1" applyFont="1" applyFill="1" applyBorder="1" applyAlignment="1">
      <alignment horizontal="center" vertical="center" wrapText="1"/>
      <protection/>
    </xf>
    <xf numFmtId="4" fontId="25" fillId="0" borderId="17" xfId="81" applyNumberFormat="1" applyFont="1" applyFill="1" applyBorder="1" applyAlignment="1">
      <alignment horizontal="center" vertical="center"/>
      <protection/>
    </xf>
    <xf numFmtId="4" fontId="25" fillId="0" borderId="18" xfId="81" applyNumberFormat="1" applyFont="1" applyFill="1" applyBorder="1" applyAlignment="1">
      <alignment horizontal="center" vertical="center"/>
      <protection/>
    </xf>
    <xf numFmtId="4" fontId="25" fillId="0" borderId="65" xfId="81" applyNumberFormat="1" applyFont="1" applyFill="1" applyBorder="1" applyAlignment="1">
      <alignment horizontal="center" vertical="center"/>
      <protection/>
    </xf>
    <xf numFmtId="4" fontId="25" fillId="0" borderId="62" xfId="81" applyNumberFormat="1" applyFont="1" applyFill="1" applyBorder="1" applyAlignment="1">
      <alignment horizontal="center" vertical="center"/>
      <protection/>
    </xf>
    <xf numFmtId="4" fontId="49" fillId="0" borderId="0" xfId="56" applyNumberFormat="1" applyFont="1" applyFill="1">
      <alignment/>
      <protection/>
    </xf>
    <xf numFmtId="0" fontId="26" fillId="0" borderId="0" xfId="54" applyFont="1" applyFill="1" applyAlignment="1">
      <alignment horizontal="center" vertical="center"/>
      <protection/>
    </xf>
    <xf numFmtId="0" fontId="26" fillId="0" borderId="0" xfId="54" applyFont="1" applyFill="1" applyAlignment="1">
      <alignment vertical="center"/>
      <protection/>
    </xf>
    <xf numFmtId="4" fontId="116" fillId="0" borderId="0" xfId="54" applyNumberFormat="1" applyFont="1" applyFill="1" applyAlignment="1">
      <alignment horizontal="center" vertical="center"/>
      <protection/>
    </xf>
    <xf numFmtId="0" fontId="26" fillId="0" borderId="17" xfId="54" applyFont="1" applyFill="1" applyBorder="1" applyAlignment="1">
      <alignment horizontal="center" vertical="center"/>
      <protection/>
    </xf>
    <xf numFmtId="0" fontId="26" fillId="0" borderId="15" xfId="54" applyFont="1" applyFill="1" applyBorder="1" applyAlignment="1">
      <alignment vertical="center"/>
      <protection/>
    </xf>
    <xf numFmtId="0" fontId="52" fillId="0" borderId="15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center"/>
      <protection/>
    </xf>
    <xf numFmtId="4" fontId="25" fillId="0" borderId="18" xfId="54" applyNumberFormat="1" applyFont="1" applyFill="1" applyBorder="1" applyAlignment="1">
      <alignment horizontal="center" vertical="center"/>
      <protection/>
    </xf>
    <xf numFmtId="4" fontId="25" fillId="0" borderId="62" xfId="54" applyNumberFormat="1" applyFont="1" applyFill="1" applyBorder="1" applyAlignment="1">
      <alignment horizontal="center" vertical="center"/>
      <protection/>
    </xf>
    <xf numFmtId="0" fontId="26" fillId="0" borderId="40" xfId="56" applyFont="1" applyFill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center" vertical="center"/>
      <protection/>
    </xf>
    <xf numFmtId="0" fontId="52" fillId="0" borderId="11" xfId="54" applyFont="1" applyFill="1" applyBorder="1" applyAlignment="1">
      <alignment vertical="center" wrapText="1"/>
      <protection/>
    </xf>
    <xf numFmtId="4" fontId="26" fillId="0" borderId="11" xfId="54" applyNumberFormat="1" applyFont="1" applyFill="1" applyBorder="1" applyAlignment="1">
      <alignment horizontal="center" vertical="center"/>
      <protection/>
    </xf>
    <xf numFmtId="4" fontId="26" fillId="0" borderId="11" xfId="56" applyNumberFormat="1" applyFont="1" applyFill="1" applyBorder="1" applyAlignment="1">
      <alignment horizontal="center" vertical="center"/>
      <protection/>
    </xf>
    <xf numFmtId="4" fontId="117" fillId="0" borderId="19" xfId="56" applyNumberFormat="1" applyFont="1" applyFill="1" applyBorder="1" applyAlignment="1">
      <alignment horizontal="center" vertical="center"/>
      <protection/>
    </xf>
    <xf numFmtId="0" fontId="118" fillId="0" borderId="56" xfId="56" applyFont="1" applyFill="1" applyBorder="1">
      <alignment/>
      <protection/>
    </xf>
    <xf numFmtId="0" fontId="118" fillId="0" borderId="37" xfId="56" applyFont="1" applyFill="1" applyBorder="1">
      <alignment/>
      <protection/>
    </xf>
    <xf numFmtId="0" fontId="26" fillId="0" borderId="20" xfId="54" applyFont="1" applyFill="1" applyBorder="1" applyAlignment="1">
      <alignment horizontal="center" vertical="center"/>
      <protection/>
    </xf>
    <xf numFmtId="0" fontId="52" fillId="0" borderId="21" xfId="54" applyFont="1" applyFill="1" applyBorder="1" applyAlignment="1">
      <alignment vertical="center" wrapText="1"/>
      <protection/>
    </xf>
    <xf numFmtId="4" fontId="26" fillId="0" borderId="21" xfId="54" applyNumberFormat="1" applyFont="1" applyFill="1" applyBorder="1" applyAlignment="1">
      <alignment horizontal="center" vertical="center"/>
      <protection/>
    </xf>
    <xf numFmtId="4" fontId="26" fillId="0" borderId="21" xfId="56" applyNumberFormat="1" applyFont="1" applyFill="1" applyBorder="1" applyAlignment="1">
      <alignment horizontal="center" vertical="center"/>
      <protection/>
    </xf>
    <xf numFmtId="4" fontId="26" fillId="0" borderId="29" xfId="56" applyNumberFormat="1" applyFont="1" applyFill="1" applyBorder="1" applyAlignment="1">
      <alignment horizontal="center" vertical="center"/>
      <protection/>
    </xf>
    <xf numFmtId="4" fontId="119" fillId="0" borderId="0" xfId="54" applyNumberFormat="1" applyFont="1" applyFill="1" applyAlignment="1">
      <alignment horizontal="center" vertical="center"/>
      <protection/>
    </xf>
    <xf numFmtId="0" fontId="25" fillId="0" borderId="15" xfId="54" applyFont="1" applyFill="1" applyBorder="1" applyAlignment="1">
      <alignment vertical="center"/>
      <protection/>
    </xf>
    <xf numFmtId="4" fontId="52" fillId="0" borderId="15" xfId="54" applyNumberFormat="1" applyFont="1" applyFill="1" applyBorder="1" applyAlignment="1">
      <alignment horizontal="center" vertical="center" wrapText="1"/>
      <protection/>
    </xf>
    <xf numFmtId="4" fontId="25" fillId="0" borderId="66" xfId="54" applyNumberFormat="1" applyFont="1" applyFill="1" applyBorder="1" applyAlignment="1">
      <alignment horizontal="center" vertical="center"/>
      <protection/>
    </xf>
    <xf numFmtId="2" fontId="49" fillId="0" borderId="0" xfId="56" applyNumberFormat="1" applyFont="1" applyFill="1">
      <alignment/>
      <protection/>
    </xf>
    <xf numFmtId="0" fontId="26" fillId="0" borderId="11" xfId="56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horizontal="left" vertical="center" wrapText="1"/>
      <protection/>
    </xf>
    <xf numFmtId="172" fontId="26" fillId="0" borderId="11" xfId="57" applyNumberFormat="1" applyFont="1" applyFill="1" applyBorder="1" applyAlignment="1">
      <alignment vertical="center"/>
      <protection/>
    </xf>
    <xf numFmtId="181" fontId="26" fillId="0" borderId="11" xfId="56" applyNumberFormat="1" applyFont="1" applyFill="1" applyBorder="1" applyAlignment="1">
      <alignment vertical="center"/>
      <protection/>
    </xf>
    <xf numFmtId="172" fontId="49" fillId="0" borderId="11" xfId="56" applyNumberFormat="1" applyFont="1" applyFill="1" applyBorder="1" applyAlignment="1">
      <alignment horizontal="center" vertical="center"/>
      <protection/>
    </xf>
    <xf numFmtId="0" fontId="26" fillId="0" borderId="11" xfId="54" applyFont="1" applyFill="1" applyBorder="1" applyAlignment="1">
      <alignment horizontal="center" vertical="center"/>
      <protection/>
    </xf>
    <xf numFmtId="4" fontId="26" fillId="0" borderId="11" xfId="56" applyNumberFormat="1" applyFont="1" applyFill="1" applyBorder="1" applyAlignment="1">
      <alignment horizontal="right" vertical="center" wrapText="1"/>
      <protection/>
    </xf>
    <xf numFmtId="4" fontId="26" fillId="0" borderId="11" xfId="56" applyNumberFormat="1" applyFont="1" applyFill="1" applyBorder="1" applyAlignment="1">
      <alignment vertical="center"/>
      <protection/>
    </xf>
    <xf numFmtId="0" fontId="25" fillId="0" borderId="15" xfId="56" applyFont="1" applyFill="1" applyBorder="1" applyAlignment="1">
      <alignment horizontal="left" vertical="center" wrapText="1"/>
      <protection/>
    </xf>
    <xf numFmtId="0" fontId="26" fillId="0" borderId="18" xfId="56" applyFont="1" applyFill="1" applyBorder="1" applyAlignment="1">
      <alignment horizontal="center" vertical="center" wrapText="1"/>
      <protection/>
    </xf>
    <xf numFmtId="4" fontId="25" fillId="0" borderId="66" xfId="56" applyNumberFormat="1" applyFont="1" applyFill="1" applyBorder="1" applyAlignment="1">
      <alignment horizontal="center" vertical="center" wrapText="1"/>
      <protection/>
    </xf>
    <xf numFmtId="4" fontId="25" fillId="0" borderId="15" xfId="56" applyNumberFormat="1" applyFont="1" applyFill="1" applyBorder="1" applyAlignment="1">
      <alignment horizontal="center" vertical="center"/>
      <protection/>
    </xf>
    <xf numFmtId="4" fontId="25" fillId="0" borderId="67" xfId="56" applyNumberFormat="1" applyFont="1" applyFill="1" applyBorder="1" applyAlignment="1">
      <alignment horizontal="center" vertical="center"/>
      <protection/>
    </xf>
    <xf numFmtId="4" fontId="25" fillId="0" borderId="18" xfId="56" applyNumberFormat="1" applyFont="1" applyFill="1" applyBorder="1" applyAlignment="1">
      <alignment horizontal="center" vertical="center"/>
      <protection/>
    </xf>
    <xf numFmtId="4" fontId="26" fillId="0" borderId="17" xfId="56" applyNumberFormat="1" applyFont="1" applyFill="1" applyBorder="1" applyAlignment="1">
      <alignment horizontal="center" vertical="center"/>
      <protection/>
    </xf>
    <xf numFmtId="0" fontId="26" fillId="0" borderId="0" xfId="56" applyFont="1" applyFill="1" applyAlignment="1">
      <alignment horizontal="center" vertical="center"/>
      <protection/>
    </xf>
    <xf numFmtId="0" fontId="120" fillId="0" borderId="0" xfId="56" applyFont="1" applyFill="1">
      <alignment/>
      <protection/>
    </xf>
    <xf numFmtId="4" fontId="26" fillId="0" borderId="0" xfId="56" applyNumberFormat="1" applyFont="1" applyFill="1" applyAlignment="1">
      <alignment horizontal="center" vertical="center"/>
      <protection/>
    </xf>
    <xf numFmtId="0" fontId="88" fillId="0" borderId="0" xfId="56" applyFill="1">
      <alignment/>
      <protection/>
    </xf>
    <xf numFmtId="0" fontId="87" fillId="0" borderId="0" xfId="56" applyFont="1" applyFill="1">
      <alignment/>
      <protection/>
    </xf>
    <xf numFmtId="0" fontId="103" fillId="0" borderId="0" xfId="56" applyFont="1" applyFill="1">
      <alignment/>
      <protection/>
    </xf>
    <xf numFmtId="0" fontId="22" fillId="0" borderId="11" xfId="62" applyNumberFormat="1" applyFont="1" applyBorder="1" applyAlignment="1">
      <alignment vertical="top" wrapText="1" indent="4"/>
      <protection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65" applyNumberFormat="1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51" fillId="0" borderId="68" xfId="4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181" fontId="32" fillId="0" borderId="25" xfId="58" applyNumberFormat="1" applyFont="1" applyBorder="1" applyAlignment="1">
      <alignment horizontal="center"/>
      <protection/>
    </xf>
    <xf numFmtId="181" fontId="32" fillId="0" borderId="22" xfId="58" applyNumberFormat="1" applyFont="1" applyBorder="1" applyAlignment="1">
      <alignment horizontal="center"/>
      <protection/>
    </xf>
    <xf numFmtId="181" fontId="32" fillId="0" borderId="35" xfId="58" applyNumberFormat="1" applyFont="1" applyBorder="1" applyAlignment="1">
      <alignment horizontal="center"/>
      <protection/>
    </xf>
    <xf numFmtId="0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1" fillId="34" borderId="0" xfId="0" applyFont="1" applyFill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7" xfId="0" applyFont="1" applyBorder="1" applyAlignment="1">
      <alignment wrapText="1"/>
    </xf>
    <xf numFmtId="0" fontId="1" fillId="0" borderId="37" xfId="63" applyNumberFormat="1" applyFont="1" applyBorder="1" applyAlignment="1">
      <alignment horizontal="left" vertical="top" wrapText="1"/>
      <protection/>
    </xf>
    <xf numFmtId="0" fontId="22" fillId="0" borderId="37" xfId="63" applyNumberFormat="1" applyFont="1" applyBorder="1" applyAlignment="1">
      <alignment vertical="top" wrapText="1"/>
      <protection/>
    </xf>
    <xf numFmtId="0" fontId="1" fillId="0" borderId="69" xfId="63" applyNumberFormat="1" applyFont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2" fillId="0" borderId="11" xfId="63" applyNumberFormat="1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vertical="center"/>
    </xf>
    <xf numFmtId="2" fontId="22" fillId="0" borderId="11" xfId="63" applyNumberFormat="1" applyFont="1" applyBorder="1" applyAlignment="1">
      <alignment horizontal="left" vertical="center" wrapText="1"/>
      <protection/>
    </xf>
    <xf numFmtId="0" fontId="22" fillId="0" borderId="11" xfId="0" applyNumberFormat="1" applyFont="1" applyBorder="1" applyAlignment="1">
      <alignment vertical="center" wrapText="1"/>
    </xf>
    <xf numFmtId="0" fontId="1" fillId="0" borderId="11" xfId="63" applyNumberFormat="1" applyFont="1" applyBorder="1" applyAlignment="1">
      <alignment vertical="top" wrapText="1"/>
      <protection/>
    </xf>
    <xf numFmtId="0" fontId="1" fillId="0" borderId="11" xfId="61" applyNumberFormat="1" applyFont="1" applyBorder="1" applyAlignment="1">
      <alignment vertical="center" wrapText="1"/>
      <protection/>
    </xf>
    <xf numFmtId="4" fontId="56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left" vertical="top" wrapText="1"/>
    </xf>
    <xf numFmtId="0" fontId="2" fillId="34" borderId="0" xfId="0" applyFont="1" applyFill="1" applyBorder="1" applyAlignment="1">
      <alignment vertical="center" wrapText="1"/>
    </xf>
    <xf numFmtId="171" fontId="1" fillId="0" borderId="23" xfId="78" applyFont="1" applyBorder="1" applyAlignment="1">
      <alignment horizontal="center" vertical="center"/>
    </xf>
    <xf numFmtId="4" fontId="121" fillId="0" borderId="18" xfId="0" applyNumberFormat="1" applyFont="1" applyBorder="1" applyAlignment="1">
      <alignment/>
    </xf>
    <xf numFmtId="171" fontId="122" fillId="0" borderId="11" xfId="0" applyNumberFormat="1" applyFont="1" applyBorder="1" applyAlignment="1">
      <alignment horizontal="center"/>
    </xf>
    <xf numFmtId="174" fontId="122" fillId="0" borderId="11" xfId="0" applyNumberFormat="1" applyFont="1" applyBorder="1" applyAlignment="1">
      <alignment horizontal="center"/>
    </xf>
    <xf numFmtId="4" fontId="15" fillId="0" borderId="70" xfId="69" applyNumberFormat="1" applyFont="1" applyBorder="1">
      <alignment/>
      <protection/>
    </xf>
    <xf numFmtId="4" fontId="15" fillId="0" borderId="23" xfId="69" applyNumberFormat="1" applyFont="1" applyBorder="1">
      <alignment/>
      <protection/>
    </xf>
    <xf numFmtId="4" fontId="15" fillId="0" borderId="43" xfId="69" applyNumberFormat="1" applyFont="1" applyBorder="1">
      <alignment/>
      <protection/>
    </xf>
    <xf numFmtId="4" fontId="26" fillId="0" borderId="0" xfId="54" applyNumberFormat="1" applyFont="1" applyFill="1" applyAlignment="1">
      <alignment vertical="center" wrapText="1"/>
      <protection/>
    </xf>
    <xf numFmtId="2" fontId="26" fillId="0" borderId="0" xfId="54" applyNumberFormat="1" applyFont="1" applyFill="1" applyAlignment="1">
      <alignment vertical="center"/>
      <protection/>
    </xf>
    <xf numFmtId="4" fontId="26" fillId="0" borderId="0" xfId="54" applyNumberFormat="1" applyFont="1" applyFill="1" applyAlignment="1">
      <alignment vertical="center"/>
      <protection/>
    </xf>
    <xf numFmtId="0" fontId="32" fillId="35" borderId="45" xfId="58" applyFont="1" applyFill="1" applyBorder="1" applyAlignment="1">
      <alignment horizontal="left"/>
      <protection/>
    </xf>
    <xf numFmtId="0" fontId="32" fillId="35" borderId="46" xfId="58" applyFont="1" applyFill="1" applyBorder="1" applyAlignment="1">
      <alignment horizontal="left" wrapText="1"/>
      <protection/>
    </xf>
    <xf numFmtId="0" fontId="32" fillId="0" borderId="46" xfId="58" applyFont="1" applyBorder="1" applyAlignment="1">
      <alignment horizontal="left"/>
      <protection/>
    </xf>
    <xf numFmtId="181" fontId="32" fillId="0" borderId="25" xfId="58" applyNumberFormat="1" applyFont="1" applyBorder="1" applyAlignment="1">
      <alignment/>
      <protection/>
    </xf>
    <xf numFmtId="181" fontId="32" fillId="0" borderId="30" xfId="58" applyNumberFormat="1" applyFont="1" applyBorder="1" applyAlignment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37" fillId="0" borderId="27" xfId="0" applyNumberFormat="1" applyFont="1" applyBorder="1" applyAlignment="1">
      <alignment horizontal="center"/>
    </xf>
    <xf numFmtId="0" fontId="37" fillId="0" borderId="68" xfId="0" applyFont="1" applyBorder="1" applyAlignment="1">
      <alignment horizontal="left"/>
    </xf>
    <xf numFmtId="0" fontId="37" fillId="0" borderId="71" xfId="0" applyFont="1" applyBorder="1" applyAlignment="1">
      <alignment horizontal="left" wrapText="1"/>
    </xf>
    <xf numFmtId="0" fontId="32" fillId="0" borderId="27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70" xfId="0" applyFont="1" applyBorder="1" applyAlignment="1">
      <alignment horizontal="left" wrapText="1"/>
    </xf>
    <xf numFmtId="181" fontId="2" fillId="0" borderId="14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70" xfId="0" applyFont="1" applyBorder="1" applyAlignment="1">
      <alignment horizontal="left" wrapText="1"/>
    </xf>
    <xf numFmtId="181" fontId="2" fillId="0" borderId="11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top"/>
    </xf>
    <xf numFmtId="181" fontId="1" fillId="0" borderId="14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73" xfId="0" applyFont="1" applyBorder="1" applyAlignment="1">
      <alignment horizontal="left" wrapText="1"/>
    </xf>
    <xf numFmtId="181" fontId="1" fillId="0" borderId="22" xfId="0" applyNumberFormat="1" applyFont="1" applyBorder="1" applyAlignment="1">
      <alignment horizontal="center"/>
    </xf>
    <xf numFmtId="181" fontId="1" fillId="0" borderId="35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" fillId="0" borderId="3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0" fontId="2" fillId="0" borderId="73" xfId="0" applyFont="1" applyBorder="1" applyAlignment="1">
      <alignment horizontal="left" wrapText="1"/>
    </xf>
    <xf numFmtId="181" fontId="1" fillId="0" borderId="25" xfId="0" applyNumberFormat="1" applyFont="1" applyBorder="1" applyAlignment="1">
      <alignment horizontal="center"/>
    </xf>
    <xf numFmtId="181" fontId="2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67" xfId="0" applyFont="1" applyBorder="1" applyAlignment="1">
      <alignment horizontal="left"/>
    </xf>
    <xf numFmtId="0" fontId="2" fillId="0" borderId="63" xfId="0" applyFont="1" applyBorder="1" applyAlignment="1">
      <alignment horizontal="left" wrapText="1"/>
    </xf>
    <xf numFmtId="181" fontId="2" fillId="0" borderId="17" xfId="0" applyNumberFormat="1" applyFont="1" applyBorder="1" applyAlignment="1">
      <alignment horizontal="center"/>
    </xf>
    <xf numFmtId="181" fontId="2" fillId="0" borderId="15" xfId="0" applyNumberFormat="1" applyFont="1" applyBorder="1" applyAlignment="1">
      <alignment horizontal="center"/>
    </xf>
    <xf numFmtId="181" fontId="2" fillId="0" borderId="18" xfId="0" applyNumberFormat="1" applyFont="1" applyBorder="1" applyAlignment="1">
      <alignment horizontal="center"/>
    </xf>
    <xf numFmtId="1" fontId="1" fillId="0" borderId="65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0" fontId="1" fillId="0" borderId="68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9" fontId="32" fillId="0" borderId="11" xfId="0" applyNumberFormat="1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9" xfId="0" applyNumberFormat="1" applyFont="1" applyBorder="1" applyAlignment="1">
      <alignment/>
    </xf>
    <xf numFmtId="0" fontId="32" fillId="0" borderId="0" xfId="0" applyFont="1" applyBorder="1" applyAlignment="1">
      <alignment/>
    </xf>
    <xf numFmtId="10" fontId="1" fillId="0" borderId="11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1" fontId="1" fillId="0" borderId="60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/>
    </xf>
    <xf numFmtId="10" fontId="1" fillId="0" borderId="35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32" fillId="0" borderId="17" xfId="0" applyFont="1" applyBorder="1" applyAlignment="1">
      <alignment/>
    </xf>
    <xf numFmtId="0" fontId="32" fillId="0" borderId="66" xfId="0" applyFont="1" applyBorder="1" applyAlignment="1">
      <alignment/>
    </xf>
    <xf numFmtId="181" fontId="2" fillId="0" borderId="67" xfId="0" applyNumberFormat="1" applyFont="1" applyBorder="1" applyAlignment="1">
      <alignment horizontal="center"/>
    </xf>
    <xf numFmtId="1" fontId="1" fillId="0" borderId="62" xfId="0" applyNumberFormat="1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8" xfId="0" applyFont="1" applyBorder="1" applyAlignment="1">
      <alignment/>
    </xf>
    <xf numFmtId="181" fontId="37" fillId="0" borderId="0" xfId="0" applyNumberFormat="1" applyFont="1" applyAlignment="1">
      <alignment/>
    </xf>
    <xf numFmtId="181" fontId="32" fillId="0" borderId="0" xfId="0" applyNumberFormat="1" applyFont="1" applyAlignment="1">
      <alignment/>
    </xf>
    <xf numFmtId="0" fontId="37" fillId="0" borderId="0" xfId="0" applyFont="1" applyAlignment="1">
      <alignment/>
    </xf>
    <xf numFmtId="171" fontId="10" fillId="0" borderId="75" xfId="78" applyFont="1" applyBorder="1" applyAlignment="1">
      <alignment horizontal="center" vertical="center"/>
    </xf>
    <xf numFmtId="2" fontId="26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64" applyNumberFormat="1" applyFont="1" applyBorder="1" applyAlignment="1">
      <alignment vertical="top" wrapText="1"/>
      <protection/>
    </xf>
    <xf numFmtId="184" fontId="1" fillId="0" borderId="11" xfId="64" applyNumberFormat="1" applyFont="1" applyBorder="1" applyAlignment="1">
      <alignment horizontal="center" vertical="center" wrapText="1"/>
      <protection/>
    </xf>
    <xf numFmtId="184" fontId="1" fillId="0" borderId="76" xfId="63" applyNumberFormat="1" applyFont="1" applyBorder="1" applyAlignment="1">
      <alignment horizontal="right" vertical="top" wrapText="1"/>
      <protection/>
    </xf>
    <xf numFmtId="0" fontId="1" fillId="0" borderId="76" xfId="63" applyNumberFormat="1" applyFont="1" applyBorder="1" applyAlignment="1">
      <alignment horizontal="left" vertical="center" wrapText="1"/>
      <protection/>
    </xf>
    <xf numFmtId="0" fontId="1" fillId="0" borderId="11" xfId="63" applyNumberFormat="1" applyFont="1" applyBorder="1" applyAlignment="1">
      <alignment horizontal="left" vertical="center" wrapText="1"/>
      <protection/>
    </xf>
    <xf numFmtId="184" fontId="1" fillId="0" borderId="11" xfId="63" applyNumberFormat="1" applyFont="1" applyBorder="1" applyAlignment="1">
      <alignment horizontal="center" vertical="center" wrapText="1"/>
      <protection/>
    </xf>
    <xf numFmtId="184" fontId="1" fillId="0" borderId="0" xfId="63" applyNumberFormat="1" applyFont="1" applyBorder="1" applyAlignment="1">
      <alignment horizontal="right" vertical="top" wrapText="1"/>
      <protection/>
    </xf>
    <xf numFmtId="0" fontId="1" fillId="0" borderId="11" xfId="61" applyNumberFormat="1" applyFont="1" applyBorder="1" applyAlignment="1">
      <alignment vertical="top" wrapText="1"/>
      <protection/>
    </xf>
    <xf numFmtId="184" fontId="1" fillId="0" borderId="11" xfId="61" applyNumberFormat="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2" fillId="0" borderId="0" xfId="58" applyFont="1" applyAlignment="1">
      <alignment horizontal="left"/>
      <protection/>
    </xf>
    <xf numFmtId="181" fontId="32" fillId="0" borderId="22" xfId="58" applyNumberFormat="1" applyFont="1" applyBorder="1" applyAlignment="1">
      <alignment horizontal="center"/>
      <protection/>
    </xf>
    <xf numFmtId="181" fontId="32" fillId="0" borderId="23" xfId="58" applyNumberFormat="1" applyFont="1" applyBorder="1" applyAlignment="1">
      <alignment horizontal="center"/>
      <protection/>
    </xf>
    <xf numFmtId="181" fontId="32" fillId="0" borderId="35" xfId="58" applyNumberFormat="1" applyFont="1" applyBorder="1" applyAlignment="1">
      <alignment horizontal="center"/>
      <protection/>
    </xf>
    <xf numFmtId="181" fontId="32" fillId="0" borderId="43" xfId="58" applyNumberFormat="1" applyFont="1" applyBorder="1" applyAlignment="1">
      <alignment horizontal="center"/>
      <protection/>
    </xf>
    <xf numFmtId="181" fontId="32" fillId="0" borderId="25" xfId="58" applyNumberFormat="1" applyFont="1" applyBorder="1" applyAlignment="1">
      <alignment horizontal="center"/>
      <protection/>
    </xf>
    <xf numFmtId="181" fontId="32" fillId="0" borderId="30" xfId="58" applyNumberFormat="1" applyFont="1" applyBorder="1" applyAlignment="1">
      <alignment horizontal="center"/>
      <protection/>
    </xf>
    <xf numFmtId="0" fontId="32" fillId="32" borderId="39" xfId="58" applyFont="1" applyFill="1" applyBorder="1" applyAlignment="1">
      <alignment horizontal="center"/>
      <protection/>
    </xf>
    <xf numFmtId="0" fontId="32" fillId="32" borderId="47" xfId="58" applyFont="1" applyFill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34" fillId="0" borderId="0" xfId="58" applyFont="1" applyAlignment="1">
      <alignment horizontal="center"/>
      <protection/>
    </xf>
    <xf numFmtId="0" fontId="32" fillId="0" borderId="13" xfId="58" applyFont="1" applyBorder="1" applyAlignment="1">
      <alignment horizontal="right" vertical="top"/>
      <protection/>
    </xf>
    <xf numFmtId="49" fontId="32" fillId="32" borderId="6" xfId="58" applyNumberFormat="1" applyFont="1" applyFill="1" applyBorder="1" applyAlignment="1">
      <alignment horizontal="center" vertical="center" wrapText="1"/>
      <protection/>
    </xf>
    <xf numFmtId="49" fontId="32" fillId="32" borderId="30" xfId="58" applyNumberFormat="1" applyFont="1" applyFill="1" applyBorder="1" applyAlignment="1">
      <alignment horizontal="center" vertical="center" wrapText="1"/>
      <protection/>
    </xf>
    <xf numFmtId="49" fontId="32" fillId="32" borderId="77" xfId="58" applyNumberFormat="1" applyFont="1" applyFill="1" applyBorder="1" applyAlignment="1">
      <alignment horizontal="center" vertical="center" wrapText="1"/>
      <protection/>
    </xf>
    <xf numFmtId="49" fontId="32" fillId="32" borderId="53" xfId="58" applyNumberFormat="1" applyFont="1" applyFill="1" applyBorder="1" applyAlignment="1">
      <alignment horizontal="center" vertical="center" wrapText="1"/>
      <protection/>
    </xf>
    <xf numFmtId="49" fontId="32" fillId="32" borderId="41" xfId="58" applyNumberFormat="1" applyFont="1" applyFill="1" applyBorder="1" applyAlignment="1">
      <alignment horizontal="center" vertical="center" wrapText="1"/>
      <protection/>
    </xf>
    <xf numFmtId="49" fontId="32" fillId="32" borderId="42" xfId="58" applyNumberFormat="1" applyFont="1" applyFill="1" applyBorder="1" applyAlignment="1">
      <alignment horizontal="center" vertical="center" wrapText="1"/>
      <protection/>
    </xf>
    <xf numFmtId="49" fontId="32" fillId="32" borderId="50" xfId="58" applyNumberFormat="1" applyFont="1" applyFill="1" applyBorder="1" applyAlignment="1">
      <alignment horizontal="center" vertical="center" wrapText="1"/>
      <protection/>
    </xf>
    <xf numFmtId="49" fontId="32" fillId="32" borderId="78" xfId="58" applyNumberFormat="1" applyFont="1" applyFill="1" applyBorder="1" applyAlignment="1">
      <alignment horizontal="center" vertical="center" wrapText="1"/>
      <protection/>
    </xf>
    <xf numFmtId="49" fontId="32" fillId="32" borderId="71" xfId="58" applyNumberFormat="1" applyFont="1" applyFill="1" applyBorder="1" applyAlignment="1">
      <alignment horizontal="center" vertical="center" wrapText="1"/>
      <protection/>
    </xf>
    <xf numFmtId="0" fontId="7" fillId="0" borderId="0" xfId="58" applyFont="1">
      <alignment/>
      <protection/>
    </xf>
    <xf numFmtId="0" fontId="32" fillId="0" borderId="0" xfId="58" applyFont="1" applyAlignment="1">
      <alignment horizontal="right" vertical="top"/>
      <protection/>
    </xf>
    <xf numFmtId="0" fontId="16" fillId="0" borderId="0" xfId="58" applyFont="1">
      <alignment/>
      <protection/>
    </xf>
    <xf numFmtId="0" fontId="32" fillId="32" borderId="39" xfId="59" applyFont="1" applyFill="1" applyBorder="1" applyAlignment="1">
      <alignment horizontal="center" wrapText="1"/>
      <protection/>
    </xf>
    <xf numFmtId="0" fontId="32" fillId="32" borderId="47" xfId="59" applyFont="1" applyFill="1" applyBorder="1" applyAlignment="1">
      <alignment horizontal="center" wrapText="1"/>
      <protection/>
    </xf>
    <xf numFmtId="0" fontId="32" fillId="0" borderId="0" xfId="59" applyFont="1" applyAlignment="1">
      <alignment horizontal="center"/>
      <protection/>
    </xf>
    <xf numFmtId="0" fontId="37" fillId="0" borderId="11" xfId="59" applyFont="1" applyBorder="1" applyAlignment="1">
      <alignment horizontal="center"/>
      <protection/>
    </xf>
    <xf numFmtId="0" fontId="35" fillId="0" borderId="0" xfId="59" applyFont="1" applyAlignment="1">
      <alignment horizontal="center"/>
      <protection/>
    </xf>
    <xf numFmtId="0" fontId="36" fillId="0" borderId="0" xfId="59" applyFont="1" applyAlignment="1">
      <alignment horizontal="center"/>
      <protection/>
    </xf>
    <xf numFmtId="0" fontId="32" fillId="0" borderId="13" xfId="59" applyFont="1" applyBorder="1" applyAlignment="1">
      <alignment horizontal="right" vertical="top"/>
      <protection/>
    </xf>
    <xf numFmtId="0" fontId="32" fillId="32" borderId="6" xfId="59" applyFont="1" applyFill="1" applyBorder="1" applyAlignment="1">
      <alignment horizontal="center" vertical="center" wrapText="1"/>
      <protection/>
    </xf>
    <xf numFmtId="0" fontId="32" fillId="32" borderId="30" xfId="59" applyFont="1" applyFill="1" applyBorder="1" applyAlignment="1">
      <alignment horizontal="center" vertical="center" wrapText="1"/>
      <protection/>
    </xf>
    <xf numFmtId="0" fontId="32" fillId="32" borderId="77" xfId="59" applyFont="1" applyFill="1" applyBorder="1" applyAlignment="1">
      <alignment horizontal="center" vertical="center" wrapText="1"/>
      <protection/>
    </xf>
    <xf numFmtId="0" fontId="32" fillId="32" borderId="53" xfId="59" applyFont="1" applyFill="1" applyBorder="1" applyAlignment="1">
      <alignment horizontal="center" vertical="center" wrapText="1"/>
      <protection/>
    </xf>
    <xf numFmtId="0" fontId="32" fillId="32" borderId="41" xfId="59" applyFont="1" applyFill="1" applyBorder="1" applyAlignment="1">
      <alignment horizontal="center" vertical="center" wrapText="1"/>
      <protection/>
    </xf>
    <xf numFmtId="0" fontId="32" fillId="32" borderId="42" xfId="59" applyFont="1" applyFill="1" applyBorder="1" applyAlignment="1">
      <alignment horizontal="center" vertical="center" wrapText="1"/>
      <protection/>
    </xf>
    <xf numFmtId="49" fontId="32" fillId="32" borderId="50" xfId="59" applyNumberFormat="1" applyFont="1" applyFill="1" applyBorder="1" applyAlignment="1">
      <alignment horizontal="center" vertical="center" wrapText="1"/>
      <protection/>
    </xf>
    <xf numFmtId="0" fontId="32" fillId="32" borderId="78" xfId="59" applyFont="1" applyFill="1" applyBorder="1" applyAlignment="1">
      <alignment horizontal="center" vertical="center" wrapText="1"/>
      <protection/>
    </xf>
    <xf numFmtId="0" fontId="32" fillId="32" borderId="71" xfId="59" applyFont="1" applyFill="1" applyBorder="1" applyAlignment="1">
      <alignment horizontal="center" vertical="center" wrapText="1"/>
      <protection/>
    </xf>
    <xf numFmtId="49" fontId="32" fillId="32" borderId="78" xfId="59" applyNumberFormat="1" applyFont="1" applyFill="1" applyBorder="1" applyAlignment="1">
      <alignment horizontal="center" vertical="center" wrapText="1"/>
      <protection/>
    </xf>
    <xf numFmtId="0" fontId="32" fillId="0" borderId="0" xfId="59" applyFont="1" applyAlignment="1">
      <alignment horizontal="right" vertical="top"/>
      <protection/>
    </xf>
    <xf numFmtId="0" fontId="1" fillId="0" borderId="50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7" fillId="0" borderId="8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8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2" fillId="0" borderId="6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/>
    </xf>
    <xf numFmtId="0" fontId="32" fillId="0" borderId="77" xfId="0" applyFont="1" applyBorder="1" applyAlignment="1">
      <alignment horizontal="center" vertical="top" wrapText="1"/>
    </xf>
    <xf numFmtId="0" fontId="32" fillId="0" borderId="82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83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/>
    </xf>
    <xf numFmtId="0" fontId="40" fillId="0" borderId="0" xfId="69" applyFont="1" applyAlignment="1">
      <alignment horizontal="left" vertical="top"/>
      <protection/>
    </xf>
    <xf numFmtId="0" fontId="40" fillId="0" borderId="0" xfId="69" applyFont="1" applyAlignment="1">
      <alignment horizontal="right" wrapText="1"/>
      <protection/>
    </xf>
    <xf numFmtId="0" fontId="13" fillId="0" borderId="0" xfId="69" applyFont="1" applyAlignment="1">
      <alignment horizontal="right"/>
      <protection/>
    </xf>
    <xf numFmtId="0" fontId="39" fillId="0" borderId="0" xfId="69" applyFont="1" applyAlignment="1">
      <alignment horizontal="center"/>
      <protection/>
    </xf>
    <xf numFmtId="0" fontId="15" fillId="0" borderId="0" xfId="69" applyFont="1" applyAlignment="1">
      <alignment horizontal="center"/>
      <protection/>
    </xf>
    <xf numFmtId="0" fontId="18" fillId="0" borderId="0" xfId="69" applyFont="1" applyAlignment="1">
      <alignment horizontal="center"/>
      <protection/>
    </xf>
    <xf numFmtId="0" fontId="13" fillId="32" borderId="27" xfId="69" applyFont="1" applyFill="1" applyBorder="1" applyAlignment="1">
      <alignment horizontal="center" vertical="center" wrapText="1"/>
      <protection/>
    </xf>
    <xf numFmtId="0" fontId="13" fillId="32" borderId="14" xfId="69" applyFont="1" applyFill="1" applyBorder="1" applyAlignment="1">
      <alignment horizontal="center" vertical="center" wrapText="1"/>
      <protection/>
    </xf>
    <xf numFmtId="0" fontId="13" fillId="32" borderId="68" xfId="69" applyFont="1" applyFill="1" applyBorder="1" applyAlignment="1">
      <alignment horizontal="center" vertical="center" wrapText="1"/>
      <protection/>
    </xf>
    <xf numFmtId="0" fontId="13" fillId="32" borderId="38" xfId="69" applyFont="1" applyFill="1" applyBorder="1" applyAlignment="1">
      <alignment horizontal="center" vertical="center" wrapText="1"/>
      <protection/>
    </xf>
    <xf numFmtId="49" fontId="1" fillId="32" borderId="27" xfId="69" applyNumberFormat="1" applyFont="1" applyFill="1" applyBorder="1" applyAlignment="1">
      <alignment horizontal="center" vertical="center" wrapText="1"/>
      <protection/>
    </xf>
    <xf numFmtId="0" fontId="1" fillId="32" borderId="14" xfId="69" applyFont="1" applyFill="1" applyBorder="1" applyAlignment="1">
      <alignment horizontal="center" vertical="center" wrapText="1"/>
      <protection/>
    </xf>
    <xf numFmtId="49" fontId="1" fillId="32" borderId="12" xfId="69" applyNumberFormat="1" applyFont="1" applyFill="1" applyBorder="1" applyAlignment="1">
      <alignment horizontal="center" vertical="center" wrapText="1"/>
      <protection/>
    </xf>
    <xf numFmtId="0" fontId="1" fillId="32" borderId="11" xfId="69" applyNumberFormat="1" applyFont="1" applyFill="1" applyBorder="1" applyAlignment="1">
      <alignment horizontal="center" vertical="center" wrapText="1"/>
      <protection/>
    </xf>
    <xf numFmtId="49" fontId="1" fillId="32" borderId="28" xfId="69" applyNumberFormat="1" applyFont="1" applyFill="1" applyBorder="1" applyAlignment="1">
      <alignment horizontal="center" vertical="center" wrapText="1"/>
      <protection/>
    </xf>
    <xf numFmtId="0" fontId="1" fillId="32" borderId="19" xfId="69" applyNumberFormat="1" applyFont="1" applyFill="1" applyBorder="1" applyAlignment="1">
      <alignment horizontal="center" vertical="center" wrapText="1"/>
      <protection/>
    </xf>
    <xf numFmtId="0" fontId="7" fillId="0" borderId="0" xfId="69" applyFont="1" applyAlignment="1">
      <alignment vertical="center"/>
      <protection/>
    </xf>
    <xf numFmtId="0" fontId="7" fillId="0" borderId="0" xfId="69" applyNumberFormat="1" applyFont="1" applyAlignment="1">
      <alignment horizontal="right" vertical="center"/>
      <protection/>
    </xf>
    <xf numFmtId="0" fontId="26" fillId="0" borderId="0" xfId="69" applyFont="1" applyBorder="1" applyAlignment="1">
      <alignment horizontal="center" wrapText="1"/>
      <protection/>
    </xf>
    <xf numFmtId="0" fontId="25" fillId="0" borderId="0" xfId="69" applyFont="1" applyBorder="1" applyAlignment="1">
      <alignment horizontal="center" wrapText="1"/>
      <protection/>
    </xf>
    <xf numFmtId="0" fontId="1" fillId="32" borderId="27" xfId="69" applyFont="1" applyFill="1" applyBorder="1" applyAlignment="1">
      <alignment horizontal="center" vertical="center" wrapText="1"/>
      <protection/>
    </xf>
    <xf numFmtId="0" fontId="1" fillId="32" borderId="68" xfId="69" applyFont="1" applyFill="1" applyBorder="1" applyAlignment="1">
      <alignment horizontal="center" vertical="center"/>
      <protection/>
    </xf>
    <xf numFmtId="0" fontId="1" fillId="32" borderId="38" xfId="69" applyFont="1" applyFill="1" applyBorder="1" applyAlignment="1">
      <alignment horizontal="center" vertical="center"/>
      <protection/>
    </xf>
    <xf numFmtId="0" fontId="1" fillId="32" borderId="28" xfId="69" applyNumberFormat="1" applyFont="1" applyFill="1" applyBorder="1" applyAlignment="1">
      <alignment horizontal="center" vertical="center" wrapText="1"/>
      <protection/>
    </xf>
    <xf numFmtId="49" fontId="1" fillId="32" borderId="59" xfId="69" applyNumberFormat="1" applyFont="1" applyFill="1" applyBorder="1" applyAlignment="1">
      <alignment horizontal="center" vertical="center" wrapText="1"/>
      <protection/>
    </xf>
    <xf numFmtId="0" fontId="1" fillId="32" borderId="68" xfId="69" applyNumberFormat="1" applyFont="1" applyFill="1" applyBorder="1" applyAlignment="1">
      <alignment horizontal="center" vertical="center" wrapText="1"/>
      <protection/>
    </xf>
    <xf numFmtId="0" fontId="13" fillId="32" borderId="12" xfId="69" applyFont="1" applyFill="1" applyBorder="1" applyAlignment="1">
      <alignment horizontal="center" vertical="center" wrapText="1"/>
      <protection/>
    </xf>
    <xf numFmtId="0" fontId="13" fillId="32" borderId="11" xfId="69" applyFont="1" applyFill="1" applyBorder="1" applyAlignment="1">
      <alignment horizontal="center" vertical="center" wrapText="1"/>
      <protection/>
    </xf>
    <xf numFmtId="0" fontId="13" fillId="32" borderId="28" xfId="69" applyFont="1" applyFill="1" applyBorder="1" applyAlignment="1">
      <alignment horizontal="center" vertical="center" wrapText="1"/>
      <protection/>
    </xf>
    <xf numFmtId="0" fontId="13" fillId="32" borderId="19" xfId="69" applyFont="1" applyFill="1" applyBorder="1" applyAlignment="1">
      <alignment horizontal="center" vertical="center" wrapText="1"/>
      <protection/>
    </xf>
    <xf numFmtId="0" fontId="40" fillId="0" borderId="0" xfId="69" applyFont="1">
      <alignment/>
      <protection/>
    </xf>
    <xf numFmtId="49" fontId="40" fillId="0" borderId="0" xfId="69" applyNumberFormat="1" applyFont="1" applyAlignment="1">
      <alignment horizontal="right"/>
      <protection/>
    </xf>
    <xf numFmtId="0" fontId="40" fillId="0" borderId="0" xfId="69" applyFont="1" applyAlignment="1">
      <alignment horizontal="center"/>
      <protection/>
    </xf>
    <xf numFmtId="0" fontId="40" fillId="0" borderId="0" xfId="69" applyFont="1" applyAlignment="1">
      <alignment horizontal="center"/>
      <protection/>
    </xf>
    <xf numFmtId="0" fontId="39" fillId="0" borderId="0" xfId="69" applyFont="1" applyAlignment="1">
      <alignment horizontal="center"/>
      <protection/>
    </xf>
    <xf numFmtId="0" fontId="13" fillId="32" borderId="27" xfId="69" applyFont="1" applyFill="1" applyBorder="1" applyAlignment="1">
      <alignment horizontal="center" vertical="center"/>
      <protection/>
    </xf>
    <xf numFmtId="0" fontId="13" fillId="32" borderId="14" xfId="69" applyFont="1" applyFill="1" applyBorder="1" applyAlignment="1">
      <alignment horizontal="center" vertical="center"/>
      <protection/>
    </xf>
    <xf numFmtId="0" fontId="13" fillId="32" borderId="68" xfId="69" applyFont="1" applyFill="1" applyBorder="1" applyAlignment="1">
      <alignment horizontal="center" vertical="center"/>
      <protection/>
    </xf>
    <xf numFmtId="0" fontId="13" fillId="32" borderId="38" xfId="69" applyFont="1" applyFill="1" applyBorder="1" applyAlignment="1">
      <alignment horizontal="center" vertical="center"/>
      <protection/>
    </xf>
    <xf numFmtId="0" fontId="43" fillId="35" borderId="74" xfId="69" applyFont="1" applyFill="1" applyBorder="1" applyAlignment="1">
      <alignment horizontal="left" vertical="center" wrapText="1"/>
      <protection/>
    </xf>
    <xf numFmtId="0" fontId="43" fillId="35" borderId="84" xfId="69" applyFont="1" applyFill="1" applyBorder="1" applyAlignment="1">
      <alignment horizontal="left" vertical="center" wrapText="1"/>
      <protection/>
    </xf>
    <xf numFmtId="0" fontId="40" fillId="0" borderId="0" xfId="67" applyFont="1" applyAlignment="1">
      <alignment horizontal="center"/>
      <protection/>
    </xf>
    <xf numFmtId="49" fontId="40" fillId="0" borderId="0" xfId="67" applyNumberFormat="1" applyFont="1" applyAlignment="1">
      <alignment horizontal="center"/>
      <protection/>
    </xf>
    <xf numFmtId="0" fontId="13" fillId="0" borderId="0" xfId="69" applyFont="1" applyAlignment="1">
      <alignment horizontal="left" wrapText="1"/>
      <protection/>
    </xf>
    <xf numFmtId="0" fontId="13" fillId="0" borderId="0" xfId="67" applyAlignment="1">
      <alignment wrapText="1"/>
      <protection/>
    </xf>
    <xf numFmtId="0" fontId="40" fillId="0" borderId="0" xfId="69" applyFont="1" applyAlignment="1">
      <alignment horizontal="center" wrapText="1"/>
      <protection/>
    </xf>
    <xf numFmtId="0" fontId="39" fillId="0" borderId="0" xfId="69" applyFont="1" applyAlignment="1">
      <alignment horizontal="center" wrapText="1"/>
      <protection/>
    </xf>
    <xf numFmtId="0" fontId="39" fillId="0" borderId="0" xfId="69" applyFont="1" applyAlignment="1">
      <alignment horizontal="center" wrapText="1"/>
      <protection/>
    </xf>
    <xf numFmtId="0" fontId="13" fillId="32" borderId="50" xfId="69" applyFont="1" applyFill="1" applyBorder="1" applyAlignment="1">
      <alignment horizontal="center" vertical="center" wrapText="1"/>
      <protection/>
    </xf>
    <xf numFmtId="0" fontId="13" fillId="32" borderId="48" xfId="69" applyFont="1" applyFill="1" applyBorder="1" applyAlignment="1">
      <alignment horizontal="center" vertical="center" wrapText="1"/>
      <protection/>
    </xf>
    <xf numFmtId="0" fontId="13" fillId="35" borderId="14" xfId="69" applyFont="1" applyFill="1" applyBorder="1" applyAlignment="1">
      <alignment horizontal="center" vertical="center" wrapText="1"/>
      <protection/>
    </xf>
    <xf numFmtId="0" fontId="40" fillId="0" borderId="0" xfId="67" applyFont="1" applyAlignment="1">
      <alignment horizontal="left"/>
      <protection/>
    </xf>
    <xf numFmtId="49" fontId="40" fillId="0" borderId="0" xfId="67" applyNumberFormat="1" applyFont="1" applyAlignment="1">
      <alignment horizontal="right"/>
      <protection/>
    </xf>
    <xf numFmtId="0" fontId="40" fillId="0" borderId="0" xfId="67" applyNumberFormat="1" applyFont="1" applyAlignment="1">
      <alignment horizontal="right"/>
      <protection/>
    </xf>
    <xf numFmtId="0" fontId="15" fillId="32" borderId="68" xfId="69" applyFont="1" applyFill="1" applyBorder="1" applyAlignment="1">
      <alignment horizontal="center" vertical="center" wrapText="1"/>
      <protection/>
    </xf>
    <xf numFmtId="0" fontId="15" fillId="32" borderId="38" xfId="69" applyFont="1" applyFill="1" applyBorder="1" applyAlignment="1">
      <alignment horizontal="center" vertical="center" wrapText="1"/>
      <protection/>
    </xf>
    <xf numFmtId="0" fontId="1" fillId="32" borderId="68" xfId="69" applyFont="1" applyFill="1" applyBorder="1" applyAlignment="1">
      <alignment horizontal="center" vertical="center" wrapText="1"/>
      <protection/>
    </xf>
    <xf numFmtId="0" fontId="1" fillId="32" borderId="28" xfId="69" applyFont="1" applyFill="1" applyBorder="1" applyAlignment="1">
      <alignment horizontal="center" vertical="center" wrapText="1"/>
      <protection/>
    </xf>
    <xf numFmtId="0" fontId="13" fillId="35" borderId="30" xfId="69" applyFont="1" applyFill="1" applyBorder="1" applyAlignment="1">
      <alignment horizontal="center" vertical="center" wrapText="1"/>
      <protection/>
    </xf>
    <xf numFmtId="0" fontId="13" fillId="0" borderId="0" xfId="69" applyFont="1" applyAlignment="1">
      <alignment horizontal="right" wrapText="1"/>
      <protection/>
    </xf>
    <xf numFmtId="0" fontId="40" fillId="0" borderId="0" xfId="69" applyFont="1" applyAlignment="1">
      <alignment horizontal="center" wrapText="1"/>
      <protection/>
    </xf>
    <xf numFmtId="0" fontId="13" fillId="0" borderId="13" xfId="69" applyFont="1" applyBorder="1" applyAlignment="1">
      <alignment horizontal="right" wrapText="1"/>
      <protection/>
    </xf>
    <xf numFmtId="0" fontId="40" fillId="0" borderId="0" xfId="68" applyFont="1" applyBorder="1" applyAlignment="1">
      <alignment horizontal="center"/>
      <protection/>
    </xf>
    <xf numFmtId="3" fontId="40" fillId="0" borderId="0" xfId="68" applyNumberFormat="1" applyFont="1" applyBorder="1" applyAlignment="1">
      <alignment horizontal="right"/>
      <protection/>
    </xf>
    <xf numFmtId="0" fontId="40" fillId="0" borderId="0" xfId="68" applyFont="1" applyAlignment="1">
      <alignment horizontal="center" vertical="center" wrapText="1"/>
      <protection/>
    </xf>
    <xf numFmtId="0" fontId="39" fillId="0" borderId="0" xfId="68" applyFont="1" applyAlignment="1">
      <alignment horizontal="center" vertical="center" wrapText="1"/>
      <protection/>
    </xf>
    <xf numFmtId="0" fontId="13" fillId="32" borderId="27" xfId="68" applyFont="1" applyFill="1" applyBorder="1" applyAlignment="1">
      <alignment horizontal="center" vertical="center"/>
      <protection/>
    </xf>
    <xf numFmtId="0" fontId="13" fillId="32" borderId="14" xfId="68" applyFont="1" applyFill="1" applyBorder="1" applyAlignment="1">
      <alignment horizontal="center" vertical="center"/>
      <protection/>
    </xf>
    <xf numFmtId="0" fontId="13" fillId="32" borderId="68" xfId="68" applyFont="1" applyFill="1" applyBorder="1" applyAlignment="1">
      <alignment horizontal="center" vertical="center"/>
      <protection/>
    </xf>
    <xf numFmtId="0" fontId="13" fillId="32" borderId="38" xfId="68" applyFont="1" applyFill="1" applyBorder="1" applyAlignment="1">
      <alignment horizontal="center" vertical="center"/>
      <protection/>
    </xf>
    <xf numFmtId="0" fontId="13" fillId="32" borderId="72" xfId="68" applyFont="1" applyFill="1" applyBorder="1" applyAlignment="1">
      <alignment horizontal="center" vertical="center" wrapText="1"/>
      <protection/>
    </xf>
    <xf numFmtId="0" fontId="13" fillId="32" borderId="51" xfId="68" applyFont="1" applyFill="1" applyBorder="1" applyAlignment="1">
      <alignment horizontal="center" vertical="center" wrapText="1"/>
      <protection/>
    </xf>
    <xf numFmtId="0" fontId="1" fillId="32" borderId="59" xfId="69" applyFont="1" applyFill="1" applyBorder="1" applyAlignment="1">
      <alignment horizontal="center" vertical="center" wrapText="1"/>
      <protection/>
    </xf>
    <xf numFmtId="0" fontId="1" fillId="32" borderId="12" xfId="69" applyFont="1" applyFill="1" applyBorder="1" applyAlignment="1">
      <alignment horizontal="center" vertical="center" wrapText="1"/>
      <protection/>
    </xf>
    <xf numFmtId="0" fontId="40" fillId="0" borderId="0" xfId="60" applyFont="1" applyAlignment="1">
      <alignment horizontal="left"/>
      <protection/>
    </xf>
    <xf numFmtId="3" fontId="40" fillId="0" borderId="0" xfId="60" applyNumberFormat="1" applyFont="1" applyAlignment="1">
      <alignment horizontal="right"/>
      <protection/>
    </xf>
    <xf numFmtId="0" fontId="40" fillId="0" borderId="0" xfId="60" applyFont="1" applyAlignment="1">
      <alignment horizontal="right"/>
      <protection/>
    </xf>
    <xf numFmtId="0" fontId="40" fillId="0" borderId="0" xfId="60" applyFont="1" applyAlignment="1">
      <alignment horizontal="center" wrapText="1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13" fillId="32" borderId="27" xfId="60" applyFont="1" applyFill="1" applyBorder="1" applyAlignment="1">
      <alignment horizontal="center" vertical="center"/>
      <protection/>
    </xf>
    <xf numFmtId="0" fontId="13" fillId="32" borderId="14" xfId="60" applyFont="1" applyFill="1" applyBorder="1" applyAlignment="1">
      <alignment horizontal="center" vertical="center"/>
      <protection/>
    </xf>
    <xf numFmtId="0" fontId="13" fillId="32" borderId="68" xfId="60" applyFont="1" applyFill="1" applyBorder="1" applyAlignment="1">
      <alignment horizontal="center" vertical="center"/>
      <protection/>
    </xf>
    <xf numFmtId="0" fontId="13" fillId="32" borderId="38" xfId="60" applyFont="1" applyFill="1" applyBorder="1" applyAlignment="1">
      <alignment horizontal="center" vertical="center"/>
      <protection/>
    </xf>
    <xf numFmtId="0" fontId="13" fillId="32" borderId="72" xfId="60" applyFont="1" applyFill="1" applyBorder="1" applyAlignment="1">
      <alignment horizontal="center" vertical="center" wrapText="1"/>
      <protection/>
    </xf>
    <xf numFmtId="0" fontId="13" fillId="32" borderId="51" xfId="60" applyFont="1" applyFill="1" applyBorder="1" applyAlignment="1">
      <alignment horizontal="center" vertical="center" wrapText="1"/>
      <protection/>
    </xf>
    <xf numFmtId="0" fontId="13" fillId="32" borderId="27" xfId="60" applyFont="1" applyFill="1" applyBorder="1" applyAlignment="1">
      <alignment horizontal="center" vertical="center" wrapText="1"/>
      <protection/>
    </xf>
    <xf numFmtId="0" fontId="13" fillId="32" borderId="14" xfId="60" applyFont="1" applyFill="1" applyBorder="1" applyAlignment="1">
      <alignment horizontal="center" vertical="center" wrapText="1"/>
      <protection/>
    </xf>
    <xf numFmtId="0" fontId="13" fillId="32" borderId="12" xfId="60" applyFont="1" applyFill="1" applyBorder="1" applyAlignment="1">
      <alignment horizontal="center" vertical="center" wrapText="1"/>
      <protection/>
    </xf>
    <xf numFmtId="0" fontId="13" fillId="32" borderId="11" xfId="60" applyFont="1" applyFill="1" applyBorder="1" applyAlignment="1">
      <alignment horizontal="center" vertical="center" wrapText="1"/>
      <protection/>
    </xf>
    <xf numFmtId="0" fontId="13" fillId="32" borderId="28" xfId="60" applyFont="1" applyFill="1" applyBorder="1" applyAlignment="1">
      <alignment horizontal="center" vertical="center" wrapText="1"/>
      <protection/>
    </xf>
    <xf numFmtId="0" fontId="13" fillId="32" borderId="19" xfId="60" applyFont="1" applyFill="1" applyBorder="1" applyAlignment="1">
      <alignment horizontal="center" vertical="center" wrapText="1"/>
      <protection/>
    </xf>
    <xf numFmtId="4" fontId="13" fillId="0" borderId="48" xfId="67" applyNumberFormat="1" applyFont="1" applyBorder="1" applyAlignment="1">
      <alignment horizontal="center" vertical="center" wrapText="1"/>
      <protection/>
    </xf>
    <xf numFmtId="0" fontId="13" fillId="0" borderId="44" xfId="67" applyFont="1" applyBorder="1" applyAlignment="1">
      <alignment horizontal="center" vertical="center" wrapText="1"/>
      <protection/>
    </xf>
    <xf numFmtId="0" fontId="13" fillId="0" borderId="37" xfId="67" applyFont="1" applyBorder="1" applyAlignment="1">
      <alignment horizontal="center" vertical="center" wrapText="1"/>
      <protection/>
    </xf>
    <xf numFmtId="4" fontId="13" fillId="0" borderId="38" xfId="67" applyNumberFormat="1" applyFont="1" applyBorder="1" applyAlignment="1">
      <alignment horizontal="center" vertical="center" wrapText="1"/>
      <protection/>
    </xf>
    <xf numFmtId="0" fontId="13" fillId="0" borderId="70" xfId="67" applyFont="1" applyBorder="1" applyAlignment="1">
      <alignment horizontal="center" vertical="center" wrapText="1"/>
      <protection/>
    </xf>
    <xf numFmtId="4" fontId="13" fillId="0" borderId="49" xfId="67" applyNumberFormat="1" applyFont="1" applyBorder="1" applyAlignment="1">
      <alignment horizontal="center" vertical="center" wrapText="1"/>
      <protection/>
    </xf>
    <xf numFmtId="0" fontId="13" fillId="0" borderId="47" xfId="67" applyFont="1" applyBorder="1" applyAlignment="1">
      <alignment horizontal="center" vertical="center" wrapText="1"/>
      <protection/>
    </xf>
    <xf numFmtId="0" fontId="13" fillId="0" borderId="40" xfId="67" applyFont="1" applyBorder="1" applyAlignment="1">
      <alignment horizontal="center" vertical="center" wrapText="1"/>
      <protection/>
    </xf>
    <xf numFmtId="4" fontId="13" fillId="0" borderId="39" xfId="67" applyNumberFormat="1" applyFont="1" applyBorder="1" applyAlignment="1">
      <alignment horizontal="center" vertical="center" wrapText="1"/>
      <protection/>
    </xf>
    <xf numFmtId="0" fontId="13" fillId="0" borderId="79" xfId="67" applyFont="1" applyBorder="1" applyAlignment="1">
      <alignment horizontal="center" vertical="center" wrapText="1"/>
      <protection/>
    </xf>
    <xf numFmtId="3" fontId="40" fillId="0" borderId="0" xfId="67" applyNumberFormat="1" applyFont="1" applyAlignment="1">
      <alignment horizontal="center"/>
      <protection/>
    </xf>
    <xf numFmtId="4" fontId="13" fillId="36" borderId="48" xfId="67" applyNumberFormat="1" applyFont="1" applyFill="1" applyBorder="1" applyAlignment="1">
      <alignment horizontal="center" vertical="center" wrapText="1"/>
      <protection/>
    </xf>
    <xf numFmtId="0" fontId="13" fillId="36" borderId="44" xfId="67" applyFont="1" applyFill="1" applyBorder="1" applyAlignment="1">
      <alignment horizontal="center" vertical="center" wrapText="1"/>
      <protection/>
    </xf>
    <xf numFmtId="0" fontId="13" fillId="36" borderId="37" xfId="67" applyFont="1" applyFill="1" applyBorder="1" applyAlignment="1">
      <alignment horizontal="center" vertical="center" wrapText="1"/>
      <protection/>
    </xf>
    <xf numFmtId="0" fontId="13" fillId="35" borderId="48" xfId="67" applyFont="1" applyFill="1" applyBorder="1" applyAlignment="1">
      <alignment horizontal="left" vertical="top" wrapText="1"/>
      <protection/>
    </xf>
    <xf numFmtId="0" fontId="13" fillId="35" borderId="44" xfId="67" applyFont="1" applyFill="1" applyBorder="1" applyAlignment="1">
      <alignment horizontal="left" vertical="top" wrapText="1"/>
      <protection/>
    </xf>
    <xf numFmtId="0" fontId="13" fillId="0" borderId="48" xfId="67" applyFont="1" applyBorder="1" applyAlignment="1">
      <alignment vertical="center" wrapText="1"/>
      <protection/>
    </xf>
    <xf numFmtId="0" fontId="13" fillId="0" borderId="44" xfId="67" applyFont="1" applyBorder="1" applyAlignment="1">
      <alignment vertical="center" wrapText="1"/>
      <protection/>
    </xf>
    <xf numFmtId="0" fontId="13" fillId="0" borderId="37" xfId="67" applyFont="1" applyBorder="1" applyAlignment="1">
      <alignment vertical="center" wrapText="1"/>
      <protection/>
    </xf>
    <xf numFmtId="0" fontId="13" fillId="0" borderId="38" xfId="67" applyFont="1" applyBorder="1" applyAlignment="1">
      <alignment vertical="center" wrapText="1"/>
      <protection/>
    </xf>
    <xf numFmtId="0" fontId="13" fillId="0" borderId="70" xfId="67" applyFont="1" applyBorder="1" applyAlignment="1">
      <alignment vertical="center" wrapText="1"/>
      <protection/>
    </xf>
    <xf numFmtId="2" fontId="13" fillId="0" borderId="48" xfId="67" applyNumberFormat="1" applyFont="1" applyBorder="1" applyAlignment="1">
      <alignment horizontal="center" vertical="center" wrapText="1"/>
      <protection/>
    </xf>
    <xf numFmtId="2" fontId="13" fillId="0" borderId="38" xfId="67" applyNumberFormat="1" applyFont="1" applyBorder="1" applyAlignment="1">
      <alignment horizontal="center" vertical="center" wrapText="1"/>
      <protection/>
    </xf>
    <xf numFmtId="2" fontId="13" fillId="0" borderId="44" xfId="67" applyNumberFormat="1" applyFont="1" applyBorder="1" applyAlignment="1">
      <alignment horizontal="center" vertical="center" wrapText="1"/>
      <protection/>
    </xf>
    <xf numFmtId="2" fontId="13" fillId="0" borderId="37" xfId="67" applyNumberFormat="1" applyFont="1" applyBorder="1" applyAlignment="1">
      <alignment horizontal="center" vertical="center" wrapText="1"/>
      <protection/>
    </xf>
    <xf numFmtId="0" fontId="13" fillId="32" borderId="46" xfId="67" applyFill="1" applyBorder="1" applyAlignment="1">
      <alignment horizontal="center" vertical="center" wrapText="1"/>
      <protection/>
    </xf>
    <xf numFmtId="0" fontId="13" fillId="32" borderId="60" xfId="67" applyFill="1" applyBorder="1" applyAlignment="1">
      <alignment horizontal="center" vertical="center" wrapText="1"/>
      <protection/>
    </xf>
    <xf numFmtId="0" fontId="13" fillId="32" borderId="42" xfId="67" applyFill="1" applyBorder="1" applyAlignment="1">
      <alignment horizontal="center" vertical="center" wrapText="1"/>
      <protection/>
    </xf>
    <xf numFmtId="0" fontId="13" fillId="32" borderId="56" xfId="67" applyFill="1" applyBorder="1" applyAlignment="1">
      <alignment horizontal="center" vertical="center" wrapText="1"/>
      <protection/>
    </xf>
    <xf numFmtId="0" fontId="13" fillId="32" borderId="11" xfId="67" applyFill="1" applyBorder="1" applyAlignment="1">
      <alignment horizontal="center" vertical="center" wrapText="1"/>
      <protection/>
    </xf>
    <xf numFmtId="0" fontId="13" fillId="0" borderId="0" xfId="67" applyAlignment="1">
      <alignment horizontal="right"/>
      <protection/>
    </xf>
    <xf numFmtId="0" fontId="38" fillId="0" borderId="0" xfId="67" applyFont="1" applyAlignment="1">
      <alignment horizontal="center" wrapText="1"/>
      <protection/>
    </xf>
    <xf numFmtId="0" fontId="38" fillId="0" borderId="0" xfId="67" applyFont="1" applyAlignment="1">
      <alignment horizontal="center"/>
      <protection/>
    </xf>
    <xf numFmtId="0" fontId="38" fillId="0" borderId="0" xfId="67" applyFont="1" applyBorder="1" applyAlignment="1">
      <alignment horizontal="center"/>
      <protection/>
    </xf>
    <xf numFmtId="0" fontId="13" fillId="32" borderId="85" xfId="67" applyFill="1" applyBorder="1" applyAlignment="1">
      <alignment horizontal="center" vertical="center" wrapText="1"/>
      <protection/>
    </xf>
    <xf numFmtId="0" fontId="13" fillId="32" borderId="86" xfId="67" applyFill="1" applyBorder="1" applyAlignment="1">
      <alignment horizontal="center" vertical="center" wrapText="1"/>
      <protection/>
    </xf>
    <xf numFmtId="0" fontId="13" fillId="32" borderId="87" xfId="67" applyFill="1" applyBorder="1" applyAlignment="1">
      <alignment horizontal="center" vertical="center" wrapText="1"/>
      <protection/>
    </xf>
    <xf numFmtId="0" fontId="13" fillId="32" borderId="77" xfId="67" applyFill="1" applyBorder="1" applyAlignment="1">
      <alignment horizontal="center" vertical="center" wrapText="1"/>
      <protection/>
    </xf>
    <xf numFmtId="0" fontId="13" fillId="32" borderId="80" xfId="67" applyFill="1" applyBorder="1" applyAlignment="1">
      <alignment horizontal="center" vertical="center" wrapText="1"/>
      <protection/>
    </xf>
    <xf numFmtId="0" fontId="13" fillId="32" borderId="41" xfId="67" applyFill="1" applyBorder="1" applyAlignment="1">
      <alignment horizontal="center" vertical="center" wrapText="1"/>
      <protection/>
    </xf>
    <xf numFmtId="0" fontId="13" fillId="32" borderId="53" xfId="67" applyFill="1" applyBorder="1" applyAlignment="1">
      <alignment horizontal="center" vertical="center" wrapText="1"/>
      <protection/>
    </xf>
    <xf numFmtId="0" fontId="13" fillId="32" borderId="68" xfId="67" applyFill="1" applyBorder="1" applyAlignment="1">
      <alignment horizontal="center"/>
      <protection/>
    </xf>
    <xf numFmtId="0" fontId="13" fillId="32" borderId="78" xfId="67" applyFill="1" applyBorder="1" applyAlignment="1">
      <alignment horizontal="center"/>
      <protection/>
    </xf>
    <xf numFmtId="0" fontId="13" fillId="32" borderId="59" xfId="67" applyFill="1" applyBorder="1" applyAlignment="1">
      <alignment horizontal="center"/>
      <protection/>
    </xf>
    <xf numFmtId="0" fontId="13" fillId="32" borderId="82" xfId="67" applyFill="1" applyBorder="1" applyAlignment="1">
      <alignment horizontal="center" vertical="center" wrapText="1"/>
      <protection/>
    </xf>
    <xf numFmtId="0" fontId="13" fillId="32" borderId="83" xfId="67" applyFill="1" applyBorder="1" applyAlignment="1">
      <alignment horizontal="center" vertical="center" wrapText="1"/>
      <protection/>
    </xf>
    <xf numFmtId="49" fontId="52" fillId="0" borderId="27" xfId="48" applyNumberFormat="1" applyFont="1" applyFill="1" applyBorder="1" applyAlignment="1">
      <alignment horizontal="center" vertical="center" wrapText="1"/>
      <protection/>
    </xf>
    <xf numFmtId="0" fontId="49" fillId="0" borderId="14" xfId="56" applyFont="1" applyFill="1" applyBorder="1" applyAlignment="1">
      <alignment horizontal="center" vertical="center"/>
      <protection/>
    </xf>
    <xf numFmtId="0" fontId="52" fillId="0" borderId="12" xfId="48" applyFont="1" applyFill="1" applyBorder="1" applyAlignment="1">
      <alignment horizontal="center" vertical="center" wrapText="1"/>
      <protection/>
    </xf>
    <xf numFmtId="0" fontId="49" fillId="0" borderId="11" xfId="56" applyFont="1" applyFill="1" applyBorder="1" applyAlignment="1">
      <alignment horizontal="center" vertical="center"/>
      <protection/>
    </xf>
    <xf numFmtId="0" fontId="51" fillId="0" borderId="12" xfId="48" applyFont="1" applyFill="1" applyBorder="1" applyAlignment="1">
      <alignment horizontal="center" vertical="center" wrapText="1"/>
      <protection/>
    </xf>
    <xf numFmtId="0" fontId="52" fillId="0" borderId="64" xfId="54" applyFont="1" applyFill="1" applyBorder="1" applyAlignment="1">
      <alignment horizontal="center" vertical="center" wrapText="1"/>
      <protection/>
    </xf>
    <xf numFmtId="0" fontId="52" fillId="0" borderId="13" xfId="54" applyFont="1" applyFill="1" applyBorder="1" applyAlignment="1">
      <alignment horizontal="center" vertical="center" wrapText="1"/>
      <protection/>
    </xf>
    <xf numFmtId="0" fontId="52" fillId="0" borderId="0" xfId="54" applyFont="1" applyFill="1" applyBorder="1" applyAlignment="1">
      <alignment horizontal="center" vertical="center" wrapText="1"/>
      <protection/>
    </xf>
    <xf numFmtId="0" fontId="26" fillId="0" borderId="48" xfId="56" applyFont="1" applyFill="1" applyBorder="1" applyAlignment="1">
      <alignment horizontal="center" vertical="center" wrapText="1"/>
      <protection/>
    </xf>
    <xf numFmtId="0" fontId="26" fillId="0" borderId="44" xfId="56" applyFont="1" applyFill="1" applyBorder="1" applyAlignment="1">
      <alignment horizontal="center" vertical="center" wrapText="1"/>
      <protection/>
    </xf>
    <xf numFmtId="0" fontId="52" fillId="0" borderId="64" xfId="54" applyFont="1" applyFill="1" applyBorder="1" applyAlignment="1">
      <alignment horizontal="center" vertical="center"/>
      <protection/>
    </xf>
    <xf numFmtId="0" fontId="52" fillId="0" borderId="13" xfId="54" applyFont="1" applyFill="1" applyBorder="1" applyAlignment="1">
      <alignment horizontal="center" vertical="center"/>
      <protection/>
    </xf>
    <xf numFmtId="0" fontId="51" fillId="0" borderId="68" xfId="48" applyFont="1" applyFill="1" applyBorder="1" applyAlignment="1">
      <alignment horizontal="center" vertical="center" wrapText="1"/>
      <protection/>
    </xf>
    <xf numFmtId="0" fontId="49" fillId="0" borderId="38" xfId="56" applyFont="1" applyFill="1" applyBorder="1" applyAlignment="1">
      <alignment horizontal="center" vertical="center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0" fontId="88" fillId="0" borderId="0" xfId="56" applyFill="1" applyAlignment="1">
      <alignment/>
      <protection/>
    </xf>
    <xf numFmtId="0" fontId="25" fillId="0" borderId="0" xfId="69" applyFont="1" applyFill="1" applyBorder="1" applyAlignment="1">
      <alignment horizontal="center" vertical="center" wrapText="1"/>
      <protection/>
    </xf>
    <xf numFmtId="0" fontId="26" fillId="0" borderId="48" xfId="56" applyFont="1" applyFill="1" applyBorder="1" applyAlignment="1">
      <alignment horizontal="center"/>
      <protection/>
    </xf>
    <xf numFmtId="0" fontId="26" fillId="0" borderId="44" xfId="56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41" fillId="3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6" fillId="0" borderId="0" xfId="69" applyFont="1" applyAlignment="1">
      <alignment horizontal="left"/>
      <protection/>
    </xf>
    <xf numFmtId="49" fontId="26" fillId="0" borderId="0" xfId="69" applyNumberFormat="1" applyFont="1" applyAlignment="1">
      <alignment horizontal="right" wrapText="1"/>
      <protection/>
    </xf>
    <xf numFmtId="0" fontId="2" fillId="0" borderId="2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6" fillId="0" borderId="0" xfId="70" applyNumberFormat="1" applyFont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6" fillId="0" borderId="0" xfId="70" applyFont="1" applyAlignment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70" applyFont="1" applyAlignment="1">
      <alignment horizontal="right" vertical="center" wrapText="1"/>
      <protection/>
    </xf>
    <xf numFmtId="0" fontId="9" fillId="0" borderId="0" xfId="70" applyFont="1" applyAlignment="1">
      <alignment horizontal="right" vertical="center" wrapText="1"/>
      <protection/>
    </xf>
    <xf numFmtId="0" fontId="17" fillId="0" borderId="0" xfId="0" applyFont="1" applyAlignment="1">
      <alignment horizontal="left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" fontId="51" fillId="0" borderId="21" xfId="54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_235200000001" xfId="58"/>
    <cellStyle name="Обычный_235200000002" xfId="59"/>
    <cellStyle name="Обычный_methodics230802-pril1-3" xfId="60"/>
    <cellStyle name="Обычный_аморт 25" xfId="61"/>
    <cellStyle name="Обычный_аморт 26" xfId="62"/>
    <cellStyle name="Обычный_ВН, СН, НН" xfId="63"/>
    <cellStyle name="Обычный_КЛЭП и ВЛЭП" xfId="64"/>
    <cellStyle name="Обычный_Лист1" xfId="65"/>
    <cellStyle name="Обычный_обоснование расходов" xfId="66"/>
    <cellStyle name="Обычный_Передача_ээ" xfId="67"/>
    <cellStyle name="Обычный_табл22-24 c 1 июня 2003(ВН)" xfId="68"/>
    <cellStyle name="Обычный_тарифы на 2002г с 1-01" xfId="69"/>
    <cellStyle name="Обычный_транспорт" xfId="70"/>
    <cellStyle name="Плохой" xfId="71"/>
    <cellStyle name="Пояснение" xfId="72"/>
    <cellStyle name="Примечание" xfId="73"/>
    <cellStyle name="Percent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ормула" xfId="80"/>
    <cellStyle name="Формула_GRES.2007.5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LISHNITZINA\&#1052;&#1086;&#1080;%20&#1076;&#1086;&#1082;&#1091;&#1084;&#1077;&#1085;&#1090;&#1099;\&#1058;&#1072;&#1088;&#1080;&#1092;&#1099;\&#1058;&#1072;&#1088;&#1080;&#1092;&#1099;%202018%20&#1075;&#1086;&#1076;\&#1069;&#1058;&#1050;\&#1056;&#1072;&#1089;&#1095;&#1077;&#1090;%20&#1090;&#1072;&#1088;&#1080;&#1092;&#1072;%20&#1085;&#1072;%20&#1087;&#1077;&#1088;&#1077;&#1076;&#1072;&#1095;&#1091;%20&#1069;&#1069;%202015-2019%20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76;&#1083;&#1103;%20&#1084;&#1077;&#1085;&#1103;\&#1044;&#1083;&#1103;%20&#1056;&#1069;&#1050;\&#1058;&#1072;&#1088;&#1080;&#1092;&#1099;%202019\&#1069;&#1058;&#1050;\&#1056;&#1072;&#1089;&#1095;&#1077;&#1090;%20&#1090;&#1072;&#1088;&#1080;&#1092;&#1072;%20&#1085;&#1072;%20&#1087;&#1077;&#1088;&#1077;&#1076;&#1072;&#1095;&#1091;%20&#1069;&#1069;%202015-2019%20(2019)%20(&#1082;&#1086;&#1088;&#1088;&#1077;&#1082;&#1090;&#1080;&#1088;&#1086;&#1074;&#1082;&#1072;%20&#1072;&#1084;&#1086;&#1088;&#1090;&#1080;&#1079;&#1072;&#1094;&#1080;&#1080;%20&#1080;%20&#1087;&#1088;&#1080;&#1073;&#1099;&#1083;&#10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31\&#1090;&#1072;&#1088;&#1080;&#1092;&#1099;\!2019!\&#1069;&#1058;&#1050;\&#1069;&#1058;&#1050;%20&#1088;&#1072;&#1089;&#1095;&#1077;&#1090;%20&#1090;&#1072;&#1088;&#1080;&#1092;&#1086;&#1074;%20&#1101;&#1101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76;&#1083;&#1103;%20&#1084;&#1077;&#1085;&#1103;\&#1040;&#1085;&#1072;&#1083;&#1080;&#1079;%20&#1090;&#1072;&#1088;&#1080;&#1092;&#1086;&#1074;\&#1069;&#1058;&#1050;\&#1072;&#1085;&#1072;&#1083;&#1080;&#1079;%20&#1090;&#1072;&#1088;&#1080;&#1092;&#1086;&#1074;%20&#1069;&#1058;&#1050;%202019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.&#1077;._&#1069;&#1058;&#1050;_2020-2024%20&#1086;&#1090;%20&#1052;&#1072;&#1090;&#1074;&#1080;&#1077;&#1085;&#1082;&#1086;%20&#1089;%20&#1058;&#1055;-3190%20&#1080;%20&#1040;&#1084;&#1091;&#1088;&#1089;&#1082;&#1080;&#1084;&#108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76;&#1083;&#1103;%20&#1084;&#1077;&#1085;&#1103;\&#1044;&#1083;&#1103;%20&#1056;&#1069;&#1050;\&#1055;&#1086;%20&#1088;&#1072;&#1079;&#1085;&#1086;&#1075;&#1083;&#1072;&#1089;&#1080;&#1103;&#1084;%20&#1069;&#1058;&#1050;%20&#1090;&#1072;&#1088;&#1080;&#1092;&#1072;%20&#1085;&#1072;%202020%20&#1075;&#1086;&#1076;\&#1053;&#1042;&#1042;%202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ЭЭ"/>
      <sheetName val="4"/>
      <sheetName val="5"/>
      <sheetName val="6"/>
      <sheetName val="15 (ЭЭ)"/>
      <sheetName val="18.2"/>
      <sheetName val="2014 факт ЭЭ"/>
      <sheetName val="20"/>
      <sheetName val="20.3"/>
      <sheetName val="21.3"/>
      <sheetName val="24"/>
      <sheetName val="25"/>
      <sheetName val="27"/>
      <sheetName val="кор"/>
      <sheetName val="2015-2019"/>
    </sheetNames>
    <sheetDataSet>
      <sheetData sheetId="14">
        <row r="64">
          <cell r="J64">
            <v>136273.41164146652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ЭЭ"/>
      <sheetName val="4"/>
      <sheetName val="5"/>
      <sheetName val="6"/>
      <sheetName val="15 (ЭЭ)"/>
      <sheetName val="18.2"/>
      <sheetName val="20"/>
      <sheetName val="20.3"/>
      <sheetName val="21.3"/>
      <sheetName val="24"/>
      <sheetName val="25"/>
      <sheetName val="27"/>
      <sheetName val="кор"/>
      <sheetName val="2015-2019"/>
    </sheetNames>
    <sheetDataSet>
      <sheetData sheetId="1">
        <row r="10">
          <cell r="A10" t="str">
            <v>ОАО "Электротехнический комплекс"</v>
          </cell>
        </row>
        <row r="33">
          <cell r="C33" t="str">
            <v>в другие сетевые организации</v>
          </cell>
        </row>
        <row r="34">
          <cell r="C34" t="str">
            <v>сальдо переток на более низкие уровни напряжения</v>
          </cell>
        </row>
        <row r="36">
          <cell r="A36" t="str">
            <v>Начальник ПЭО</v>
          </cell>
          <cell r="J36" t="str">
            <v>М.С. Мироненко</v>
          </cell>
        </row>
      </sheetData>
      <sheetData sheetId="3">
        <row r="21">
          <cell r="M21">
            <v>6898.675825084023</v>
          </cell>
        </row>
        <row r="26">
          <cell r="M26">
            <v>7051.42431268632</v>
          </cell>
        </row>
        <row r="33">
          <cell r="F33">
            <v>74.027</v>
          </cell>
        </row>
        <row r="36">
          <cell r="A36" t="str">
            <v>Начальник ПЭО</v>
          </cell>
          <cell r="I36" t="str">
            <v>М.С. Мироненко</v>
          </cell>
        </row>
      </sheetData>
      <sheetData sheetId="4">
        <row r="4">
          <cell r="A4" t="str">
            <v>ОАО "Электротехнический комплекс"</v>
          </cell>
        </row>
        <row r="27">
          <cell r="B27" t="str">
            <v>Оплата за услуги по организации функционирования и развитию ЕЭС России, ОДУ в электроэнергетике…</v>
          </cell>
        </row>
        <row r="52">
          <cell r="A52" t="str">
            <v>Начальник ПЭО</v>
          </cell>
          <cell r="C52" t="str">
            <v>М.С. Мироненко</v>
          </cell>
        </row>
      </sheetData>
      <sheetData sheetId="5">
        <row r="3">
          <cell r="A3" t="str">
            <v>по сетям ОАО "Электротехнический комплекс"</v>
          </cell>
        </row>
        <row r="42">
          <cell r="C42">
            <v>137000.59405</v>
          </cell>
          <cell r="E42">
            <v>110871.20621317408</v>
          </cell>
        </row>
        <row r="54">
          <cell r="A54" t="str">
            <v>Начальник ПЭО</v>
          </cell>
          <cell r="E54" t="str">
            <v>М.С. Мироненко</v>
          </cell>
        </row>
      </sheetData>
      <sheetData sheetId="6">
        <row r="7">
          <cell r="A7" t="str">
            <v>ОАО "Электротехнический комплекс"</v>
          </cell>
        </row>
        <row r="38">
          <cell r="A38" t="str">
            <v>Начальник ПЭО</v>
          </cell>
          <cell r="C38" t="str">
            <v>М.С. Мироненко</v>
          </cell>
        </row>
      </sheetData>
      <sheetData sheetId="7">
        <row r="30">
          <cell r="A30" t="str">
            <v>Начальник ПЭО</v>
          </cell>
          <cell r="D30" t="str">
            <v>М.С. Мироненко</v>
          </cell>
        </row>
      </sheetData>
      <sheetData sheetId="8">
        <row r="8">
          <cell r="E8" t="str">
            <v>Базовый период
2018 год</v>
          </cell>
        </row>
        <row r="43">
          <cell r="E43">
            <v>5160.55796464</v>
          </cell>
        </row>
        <row r="50">
          <cell r="A50" t="str">
            <v>Начальник ПЭО</v>
          </cell>
          <cell r="F50" t="str">
            <v>М.С. Мироненко</v>
          </cell>
        </row>
      </sheetData>
      <sheetData sheetId="9">
        <row r="3">
          <cell r="A3" t="str">
            <v>ОАО "Электротехнический комплекс"</v>
          </cell>
        </row>
        <row r="42">
          <cell r="A42" t="str">
            <v>Начальник ПЭО</v>
          </cell>
          <cell r="F42" t="str">
            <v>М.С. Мироненко</v>
          </cell>
        </row>
      </sheetData>
      <sheetData sheetId="10">
        <row r="45">
          <cell r="A45" t="str">
            <v>Начальник ПЭО</v>
          </cell>
          <cell r="E45" t="str">
            <v>М.С. Мироненко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ЛЭП и ВЛЭП"/>
      <sheetName val="ВН, СН, НН"/>
      <sheetName val="табл П 1.17"/>
      <sheetName val="табл П 1.17.1"/>
      <sheetName val="аморт 25"/>
      <sheetName val="зем нал 25"/>
      <sheetName val="тр н-г 25"/>
      <sheetName val="ОСАГО 25"/>
      <sheetName val="неподконтрольные ээ"/>
      <sheetName val="аморт 26"/>
      <sheetName val="тр н-г 26"/>
      <sheetName val="ОСАГО 26"/>
      <sheetName val="зем н-г 26"/>
    </sheetNames>
    <sheetDataSet>
      <sheetData sheetId="8">
        <row r="16">
          <cell r="H16">
            <v>3287615.3579130447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ача ээ "/>
      <sheetName val="передача ээ год"/>
      <sheetName val="рем эл "/>
      <sheetName val="корректировка"/>
      <sheetName val="расчет % фин рез"/>
    </sheetNames>
    <sheetDataSet>
      <sheetData sheetId="0">
        <row r="8">
          <cell r="V8">
            <v>60102.069375646206</v>
          </cell>
        </row>
        <row r="9">
          <cell r="V9">
            <v>19368.73161</v>
          </cell>
        </row>
        <row r="10">
          <cell r="V10">
            <v>22783.27183</v>
          </cell>
        </row>
        <row r="11">
          <cell r="V11">
            <v>17950.065935646206</v>
          </cell>
        </row>
        <row r="12">
          <cell r="V12">
            <v>7797.764450000001</v>
          </cell>
        </row>
        <row r="13">
          <cell r="V13">
            <v>4906.55693000001</v>
          </cell>
        </row>
        <row r="14">
          <cell r="V14">
            <v>7797.305269999999</v>
          </cell>
        </row>
        <row r="15">
          <cell r="V15">
            <v>1115.322593360894</v>
          </cell>
        </row>
        <row r="16">
          <cell r="V16">
            <v>15.57967</v>
          </cell>
        </row>
        <row r="17">
          <cell r="V17">
            <v>976.458583360894</v>
          </cell>
        </row>
        <row r="18">
          <cell r="V18">
            <v>123.28434</v>
          </cell>
        </row>
        <row r="20">
          <cell r="V20">
            <v>20358.41345</v>
          </cell>
        </row>
        <row r="21">
          <cell r="T21">
            <v>515.18518</v>
          </cell>
          <cell r="U21">
            <v>2000</v>
          </cell>
        </row>
        <row r="24">
          <cell r="V24">
            <v>865.43694</v>
          </cell>
        </row>
        <row r="27">
          <cell r="V27">
            <v>2305.5735699999996</v>
          </cell>
        </row>
        <row r="31">
          <cell r="V31">
            <v>18015.01587</v>
          </cell>
        </row>
        <row r="33">
          <cell r="V33">
            <v>5298.4173599999995</v>
          </cell>
        </row>
        <row r="36">
          <cell r="V36">
            <v>123263.4584490071</v>
          </cell>
        </row>
        <row r="37">
          <cell r="V37">
            <v>11607.201249999998</v>
          </cell>
        </row>
        <row r="39">
          <cell r="C39">
            <v>17866.39</v>
          </cell>
        </row>
        <row r="41">
          <cell r="C41">
            <v>17866.39000000002</v>
          </cell>
          <cell r="AC41">
            <v>-27981.68918734046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</sheetNames>
    <sheetDataSet>
      <sheetData sheetId="1">
        <row r="53">
          <cell r="M53">
            <v>2888.7547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ВВ 2020-2024"/>
    </sheetNames>
    <sheetDataSet>
      <sheetData sheetId="0">
        <row r="23">
          <cell r="F23">
            <v>136.59113</v>
          </cell>
        </row>
        <row r="26">
          <cell r="F26">
            <v>60568.87</v>
          </cell>
        </row>
        <row r="27">
          <cell r="F27">
            <v>20523.34</v>
          </cell>
        </row>
        <row r="30">
          <cell r="F30">
            <v>16018.21</v>
          </cell>
        </row>
        <row r="33">
          <cell r="F33">
            <v>24027.32</v>
          </cell>
        </row>
        <row r="37">
          <cell r="F37">
            <v>14015.59</v>
          </cell>
        </row>
        <row r="40">
          <cell r="F40">
            <v>6501.48</v>
          </cell>
        </row>
        <row r="54">
          <cell r="F54">
            <v>44.87</v>
          </cell>
        </row>
        <row r="55">
          <cell r="F55">
            <v>529.78</v>
          </cell>
        </row>
        <row r="56">
          <cell r="F56">
            <v>1183.0900000000001</v>
          </cell>
        </row>
        <row r="63">
          <cell r="F63">
            <v>60.42</v>
          </cell>
        </row>
        <row r="65">
          <cell r="F65">
            <v>103.81</v>
          </cell>
        </row>
        <row r="66">
          <cell r="F66">
            <v>35.51</v>
          </cell>
        </row>
        <row r="67">
          <cell r="F67">
            <v>330.02</v>
          </cell>
        </row>
        <row r="72">
          <cell r="F72">
            <v>48.9</v>
          </cell>
        </row>
        <row r="77">
          <cell r="F77">
            <v>298.03</v>
          </cell>
        </row>
        <row r="78">
          <cell r="F78">
            <v>1745.57</v>
          </cell>
        </row>
        <row r="79">
          <cell r="F79">
            <v>28.62</v>
          </cell>
        </row>
        <row r="83">
          <cell r="F83">
            <v>18008.44737</v>
          </cell>
        </row>
        <row r="88">
          <cell r="F88">
            <v>13336.34</v>
          </cell>
        </row>
        <row r="91">
          <cell r="F91">
            <v>135388.8785</v>
          </cell>
        </row>
        <row r="94">
          <cell r="F94">
            <v>6930.620000000001</v>
          </cell>
        </row>
        <row r="95">
          <cell r="F95">
            <v>1508.41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9"/>
  <sheetViews>
    <sheetView zoomScalePageLayoutView="0" workbookViewId="0" topLeftCell="A15">
      <selection activeCell="J24" activeCellId="3" sqref="K27 M27 N27 J24"/>
    </sheetView>
  </sheetViews>
  <sheetFormatPr defaultColWidth="9.00390625" defaultRowHeight="12.75" outlineLevelRow="1" outlineLevelCol="1"/>
  <cols>
    <col min="1" max="1" width="4.75390625" style="266" customWidth="1"/>
    <col min="2" max="2" width="0.6171875" style="266" customWidth="1"/>
    <col min="3" max="3" width="55.75390625" style="266" customWidth="1"/>
    <col min="4" max="4" width="0.6171875" style="266" customWidth="1"/>
    <col min="5" max="6" width="8.125" style="266" bestFit="1" customWidth="1"/>
    <col min="7" max="7" width="5.00390625" style="266" customWidth="1"/>
    <col min="8" max="8" width="9.25390625" style="266" customWidth="1"/>
    <col min="9" max="9" width="6.75390625" style="266" bestFit="1" customWidth="1"/>
    <col min="10" max="14" width="8.00390625" style="266" customWidth="1" outlineLevel="1"/>
    <col min="15" max="16" width="9.625" style="266" customWidth="1"/>
    <col min="17" max="17" width="4.75390625" style="266" customWidth="1"/>
    <col min="18" max="18" width="7.875" style="266" customWidth="1"/>
    <col min="19" max="19" width="6.75390625" style="266" bestFit="1" customWidth="1"/>
    <col min="20" max="16384" width="9.125" style="266" customWidth="1"/>
  </cols>
  <sheetData>
    <row r="1" spans="16:19" ht="28.5" customHeight="1">
      <c r="P1" s="1047" t="s">
        <v>538</v>
      </c>
      <c r="Q1" s="1047"/>
      <c r="R1" s="1047"/>
      <c r="S1" s="1047"/>
    </row>
    <row r="2" spans="1:19" ht="15.75" hidden="1" outlineLevel="1">
      <c r="A2" s="1048" t="s">
        <v>539</v>
      </c>
      <c r="B2" s="1048"/>
      <c r="C2" s="1048"/>
      <c r="D2" s="1048"/>
      <c r="E2" s="1048"/>
      <c r="F2" s="1048"/>
      <c r="G2" s="1048"/>
      <c r="K2" s="1048" t="s">
        <v>539</v>
      </c>
      <c r="L2" s="1048"/>
      <c r="M2" s="1048"/>
      <c r="N2" s="1048"/>
      <c r="O2" s="1048"/>
      <c r="P2" s="1048"/>
      <c r="Q2" s="1048"/>
      <c r="R2" s="1048"/>
      <c r="S2" s="1048"/>
    </row>
    <row r="3" spans="1:19" ht="15.75" hidden="1" outlineLevel="1">
      <c r="A3" s="1046" t="s">
        <v>540</v>
      </c>
      <c r="B3" s="1046"/>
      <c r="C3" s="1046"/>
      <c r="D3" s="1046"/>
      <c r="E3" s="1046"/>
      <c r="F3" s="1046"/>
      <c r="G3" s="1046"/>
      <c r="K3" s="1046" t="s">
        <v>541</v>
      </c>
      <c r="L3" s="1046"/>
      <c r="M3" s="1046"/>
      <c r="N3" s="1046"/>
      <c r="O3" s="1046"/>
      <c r="P3" s="1046"/>
      <c r="Q3" s="1046"/>
      <c r="R3" s="1046"/>
      <c r="S3" s="1046"/>
    </row>
    <row r="4" spans="1:19" ht="15.75" hidden="1" outlineLevel="1">
      <c r="A4" s="1046" t="s">
        <v>542</v>
      </c>
      <c r="B4" s="1046"/>
      <c r="C4" s="1046"/>
      <c r="D4" s="1046"/>
      <c r="E4" s="1046"/>
      <c r="F4" s="1046"/>
      <c r="G4" s="1046"/>
      <c r="K4" s="1046" t="s">
        <v>543</v>
      </c>
      <c r="L4" s="1046"/>
      <c r="M4" s="1046"/>
      <c r="N4" s="1046"/>
      <c r="O4" s="1046"/>
      <c r="P4" s="1046"/>
      <c r="Q4" s="1046"/>
      <c r="R4" s="1046"/>
      <c r="S4" s="1046"/>
    </row>
    <row r="5" spans="1:19" ht="15.75" hidden="1" outlineLevel="1">
      <c r="A5" s="1046" t="s">
        <v>544</v>
      </c>
      <c r="B5" s="1046"/>
      <c r="C5" s="1046"/>
      <c r="D5" s="1046"/>
      <c r="E5" s="1046"/>
      <c r="F5" s="1046"/>
      <c r="G5" s="1046"/>
      <c r="K5" s="1046" t="s">
        <v>545</v>
      </c>
      <c r="L5" s="1046"/>
      <c r="M5" s="1046"/>
      <c r="N5" s="1046"/>
      <c r="O5" s="1046"/>
      <c r="P5" s="1046"/>
      <c r="Q5" s="1046"/>
      <c r="R5" s="1046"/>
      <c r="S5" s="1046"/>
    </row>
    <row r="6" spans="1:19" ht="30" customHeight="1" hidden="1" outlineLevel="1">
      <c r="A6" s="1046" t="s">
        <v>546</v>
      </c>
      <c r="B6" s="1046"/>
      <c r="C6" s="1046"/>
      <c r="D6" s="1046"/>
      <c r="E6" s="1046"/>
      <c r="F6" s="1046"/>
      <c r="G6" s="1046"/>
      <c r="K6" s="1046" t="s">
        <v>546</v>
      </c>
      <c r="L6" s="1046"/>
      <c r="M6" s="1046"/>
      <c r="N6" s="1046"/>
      <c r="O6" s="1046"/>
      <c r="P6" s="1046"/>
      <c r="Q6" s="1046"/>
      <c r="R6" s="1046"/>
      <c r="S6" s="1046"/>
    </row>
    <row r="7" spans="1:19" ht="30" customHeight="1" hidden="1" outlineLevel="1">
      <c r="A7" s="1046" t="s">
        <v>547</v>
      </c>
      <c r="B7" s="1046"/>
      <c r="C7" s="1046"/>
      <c r="D7" s="1046"/>
      <c r="E7" s="1046"/>
      <c r="F7" s="1046"/>
      <c r="G7" s="1046"/>
      <c r="K7" s="1046" t="s">
        <v>547</v>
      </c>
      <c r="L7" s="1046"/>
      <c r="M7" s="1046"/>
      <c r="N7" s="1046"/>
      <c r="O7" s="1046"/>
      <c r="P7" s="1046"/>
      <c r="Q7" s="1046"/>
      <c r="R7" s="1046"/>
      <c r="S7" s="1046"/>
    </row>
    <row r="8" ht="15" hidden="1" outlineLevel="1"/>
    <row r="9" spans="1:19" ht="18.75" collapsed="1">
      <c r="A9" s="1034" t="s">
        <v>548</v>
      </c>
      <c r="B9" s="1034"/>
      <c r="C9" s="1034"/>
      <c r="D9" s="1034"/>
      <c r="E9" s="1034"/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1034"/>
      <c r="Q9" s="1034"/>
      <c r="R9" s="1034"/>
      <c r="S9" s="1034"/>
    </row>
    <row r="10" spans="1:19" ht="22.5">
      <c r="A10" s="1035" t="str">
        <f>'[2]15 (ЭЭ)'!A4</f>
        <v>ОАО "Электротехнический комплекс"</v>
      </c>
      <c r="B10" s="1035"/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5"/>
      <c r="Q10" s="1035"/>
      <c r="R10" s="1035"/>
      <c r="S10" s="1035"/>
    </row>
    <row r="11" spans="18:19" ht="15.75" thickBot="1">
      <c r="R11" s="1036" t="s">
        <v>549</v>
      </c>
      <c r="S11" s="1036"/>
    </row>
    <row r="12" spans="1:19" s="268" customFormat="1" ht="30" customHeight="1">
      <c r="A12" s="1037" t="s">
        <v>550</v>
      </c>
      <c r="B12" s="1039" t="s">
        <v>198</v>
      </c>
      <c r="C12" s="1040"/>
      <c r="D12" s="1040"/>
      <c r="E12" s="1043" t="s">
        <v>1245</v>
      </c>
      <c r="F12" s="1044"/>
      <c r="G12" s="1044"/>
      <c r="H12" s="1044"/>
      <c r="I12" s="1045"/>
      <c r="J12" s="1044" t="s">
        <v>1247</v>
      </c>
      <c r="K12" s="1044"/>
      <c r="L12" s="1044"/>
      <c r="M12" s="1044"/>
      <c r="N12" s="1044"/>
      <c r="O12" s="1043" t="s">
        <v>1246</v>
      </c>
      <c r="P12" s="1044"/>
      <c r="Q12" s="1044"/>
      <c r="R12" s="1044"/>
      <c r="S12" s="1045"/>
    </row>
    <row r="13" spans="1:19" s="268" customFormat="1" ht="30">
      <c r="A13" s="1038"/>
      <c r="B13" s="1041"/>
      <c r="C13" s="1042"/>
      <c r="D13" s="1042"/>
      <c r="E13" s="269" t="s">
        <v>551</v>
      </c>
      <c r="F13" s="270" t="s">
        <v>97</v>
      </c>
      <c r="G13" s="270" t="s">
        <v>512</v>
      </c>
      <c r="H13" s="270" t="s">
        <v>513</v>
      </c>
      <c r="I13" s="271" t="s">
        <v>39</v>
      </c>
      <c r="J13" s="272" t="s">
        <v>551</v>
      </c>
      <c r="K13" s="270" t="s">
        <v>97</v>
      </c>
      <c r="L13" s="270" t="s">
        <v>512</v>
      </c>
      <c r="M13" s="270" t="s">
        <v>513</v>
      </c>
      <c r="N13" s="273" t="s">
        <v>39</v>
      </c>
      <c r="O13" s="269" t="s">
        <v>551</v>
      </c>
      <c r="P13" s="270" t="s">
        <v>97</v>
      </c>
      <c r="Q13" s="270" t="s">
        <v>512</v>
      </c>
      <c r="R13" s="270" t="s">
        <v>513</v>
      </c>
      <c r="S13" s="271" t="s">
        <v>39</v>
      </c>
    </row>
    <row r="14" spans="1:19" s="279" customFormat="1" ht="15.75" thickBot="1">
      <c r="A14" s="274">
        <v>1</v>
      </c>
      <c r="B14" s="1032">
        <v>2</v>
      </c>
      <c r="C14" s="1033"/>
      <c r="D14" s="1033"/>
      <c r="E14" s="274">
        <v>3</v>
      </c>
      <c r="F14" s="276">
        <v>4</v>
      </c>
      <c r="G14" s="276">
        <v>5</v>
      </c>
      <c r="H14" s="276">
        <v>6</v>
      </c>
      <c r="I14" s="277">
        <v>7</v>
      </c>
      <c r="J14" s="278">
        <v>8</v>
      </c>
      <c r="K14" s="276">
        <v>9</v>
      </c>
      <c r="L14" s="276">
        <v>10</v>
      </c>
      <c r="M14" s="276">
        <v>11</v>
      </c>
      <c r="N14" s="275">
        <v>12</v>
      </c>
      <c r="O14" s="274">
        <v>8</v>
      </c>
      <c r="P14" s="276">
        <v>9</v>
      </c>
      <c r="Q14" s="276">
        <v>10</v>
      </c>
      <c r="R14" s="276">
        <v>11</v>
      </c>
      <c r="S14" s="277">
        <v>12</v>
      </c>
    </row>
    <row r="15" spans="1:19" ht="15">
      <c r="A15" s="280">
        <v>1</v>
      </c>
      <c r="B15" s="281"/>
      <c r="C15" s="282" t="s">
        <v>552</v>
      </c>
      <c r="D15" s="283"/>
      <c r="E15" s="284">
        <f>E23+E16+E21+E22</f>
        <v>381.733</v>
      </c>
      <c r="F15" s="285">
        <f>F16+F22</f>
        <v>327.965</v>
      </c>
      <c r="G15" s="285"/>
      <c r="H15" s="285">
        <f>H16+H23</f>
        <v>72.745</v>
      </c>
      <c r="I15" s="286">
        <f>I16</f>
        <v>3.031</v>
      </c>
      <c r="J15" s="284">
        <f>J23+J21</f>
        <v>393.32500000000005</v>
      </c>
      <c r="K15" s="285">
        <f>K23+K21</f>
        <v>336.182</v>
      </c>
      <c r="L15" s="285"/>
      <c r="M15" s="285">
        <f>M16+M23</f>
        <v>74.607</v>
      </c>
      <c r="N15" s="286">
        <f>N16</f>
        <v>3.192</v>
      </c>
      <c r="O15" s="284">
        <f>O23+O16+O21+O22</f>
        <v>375.59</v>
      </c>
      <c r="P15" s="285">
        <f>P16+P22</f>
        <v>321.822</v>
      </c>
      <c r="Q15" s="285"/>
      <c r="R15" s="285">
        <f>R16+R23</f>
        <v>72.803</v>
      </c>
      <c r="S15" s="286">
        <f>S16</f>
        <v>3.089</v>
      </c>
    </row>
    <row r="16" spans="1:19" ht="15">
      <c r="A16" s="287" t="s">
        <v>553</v>
      </c>
      <c r="B16" s="288"/>
      <c r="C16" s="289" t="s">
        <v>554</v>
      </c>
      <c r="D16" s="290"/>
      <c r="E16" s="291">
        <f>E18+E20</f>
        <v>361.692</v>
      </c>
      <c r="F16" s="292">
        <f>F18</f>
        <v>307.924</v>
      </c>
      <c r="G16" s="292"/>
      <c r="H16" s="292">
        <f>H18+H20</f>
        <v>72.745</v>
      </c>
      <c r="I16" s="293">
        <f>I20</f>
        <v>3.031</v>
      </c>
      <c r="J16" s="291"/>
      <c r="K16" s="292"/>
      <c r="L16" s="292"/>
      <c r="M16" s="292">
        <f>M18</f>
        <v>17.464</v>
      </c>
      <c r="N16" s="293">
        <f>N20</f>
        <v>3.192</v>
      </c>
      <c r="O16" s="291">
        <f>O18+O20</f>
        <v>355.549</v>
      </c>
      <c r="P16" s="292">
        <f>P18</f>
        <v>301.781</v>
      </c>
      <c r="Q16" s="292"/>
      <c r="R16" s="292">
        <f>R18+R20</f>
        <v>72.803</v>
      </c>
      <c r="S16" s="293">
        <f>S18</f>
        <v>3.089</v>
      </c>
    </row>
    <row r="17" spans="1:19" ht="15">
      <c r="A17" s="287"/>
      <c r="B17" s="288"/>
      <c r="C17" s="289" t="s">
        <v>555</v>
      </c>
      <c r="D17" s="290"/>
      <c r="E17" s="291"/>
      <c r="F17" s="292"/>
      <c r="G17" s="292"/>
      <c r="H17" s="292"/>
      <c r="I17" s="293"/>
      <c r="J17" s="291"/>
      <c r="K17" s="292"/>
      <c r="L17" s="292"/>
      <c r="M17" s="292"/>
      <c r="N17" s="293"/>
      <c r="O17" s="291"/>
      <c r="P17" s="292"/>
      <c r="Q17" s="292"/>
      <c r="R17" s="292"/>
      <c r="S17" s="293"/>
    </row>
    <row r="18" spans="1:19" ht="15">
      <c r="A18" s="287"/>
      <c r="B18" s="288"/>
      <c r="C18" s="289" t="s">
        <v>97</v>
      </c>
      <c r="D18" s="290"/>
      <c r="E18" s="291">
        <f>F18</f>
        <v>307.924</v>
      </c>
      <c r="F18" s="292">
        <v>307.924</v>
      </c>
      <c r="G18" s="292"/>
      <c r="H18" s="292">
        <v>18.977</v>
      </c>
      <c r="I18" s="293"/>
      <c r="J18" s="291"/>
      <c r="K18" s="292"/>
      <c r="L18" s="292"/>
      <c r="M18" s="292">
        <v>17.464</v>
      </c>
      <c r="N18" s="293"/>
      <c r="O18" s="291">
        <f>P18</f>
        <v>301.781</v>
      </c>
      <c r="P18" s="292">
        <v>301.781</v>
      </c>
      <c r="Q18" s="292"/>
      <c r="R18" s="292">
        <v>19.035</v>
      </c>
      <c r="S18" s="293">
        <f>3.089</f>
        <v>3.089</v>
      </c>
    </row>
    <row r="19" spans="1:19" ht="15">
      <c r="A19" s="287"/>
      <c r="B19" s="288"/>
      <c r="C19" s="289" t="s">
        <v>512</v>
      </c>
      <c r="D19" s="290"/>
      <c r="E19" s="291"/>
      <c r="F19" s="292"/>
      <c r="G19" s="292"/>
      <c r="H19" s="292"/>
      <c r="I19" s="293"/>
      <c r="J19" s="291"/>
      <c r="K19" s="292"/>
      <c r="L19" s="292"/>
      <c r="M19" s="292"/>
      <c r="N19" s="293"/>
      <c r="O19" s="291"/>
      <c r="P19" s="292"/>
      <c r="Q19" s="292"/>
      <c r="R19" s="292"/>
      <c r="S19" s="293"/>
    </row>
    <row r="20" spans="1:19" ht="15">
      <c r="A20" s="287"/>
      <c r="B20" s="288"/>
      <c r="C20" s="289" t="s">
        <v>1254</v>
      </c>
      <c r="D20" s="290"/>
      <c r="E20" s="291">
        <f>H20</f>
        <v>53.768</v>
      </c>
      <c r="F20" s="292"/>
      <c r="G20" s="292"/>
      <c r="H20" s="292">
        <v>53.768</v>
      </c>
      <c r="I20" s="293">
        <f>I24+I26+I27</f>
        <v>3.031</v>
      </c>
      <c r="J20" s="291"/>
      <c r="K20" s="292"/>
      <c r="L20" s="292"/>
      <c r="M20" s="292"/>
      <c r="N20" s="293">
        <v>3.192</v>
      </c>
      <c r="O20" s="291">
        <f>R20</f>
        <v>53.768</v>
      </c>
      <c r="P20" s="292"/>
      <c r="Q20" s="292"/>
      <c r="R20" s="292">
        <v>53.768</v>
      </c>
      <c r="S20" s="293"/>
    </row>
    <row r="21" spans="1:19" ht="15">
      <c r="A21" s="287" t="s">
        <v>556</v>
      </c>
      <c r="B21" s="288"/>
      <c r="C21" s="289" t="s">
        <v>557</v>
      </c>
      <c r="D21" s="290"/>
      <c r="E21" s="291"/>
      <c r="F21" s="292"/>
      <c r="G21" s="292"/>
      <c r="H21" s="292"/>
      <c r="I21" s="293"/>
      <c r="J21" s="291">
        <f>K21</f>
        <v>13.434</v>
      </c>
      <c r="K21" s="292">
        <v>13.434</v>
      </c>
      <c r="L21" s="292"/>
      <c r="M21" s="292"/>
      <c r="N21" s="293"/>
      <c r="O21" s="291"/>
      <c r="P21" s="292"/>
      <c r="Q21" s="292"/>
      <c r="R21" s="292"/>
      <c r="S21" s="293"/>
    </row>
    <row r="22" spans="1:19" ht="15">
      <c r="A22" s="294" t="s">
        <v>558</v>
      </c>
      <c r="B22" s="288"/>
      <c r="C22" s="289" t="s">
        <v>1255</v>
      </c>
      <c r="D22" s="290"/>
      <c r="E22" s="291">
        <f>F22</f>
        <v>20.041</v>
      </c>
      <c r="F22" s="292">
        <v>20.041</v>
      </c>
      <c r="G22" s="292"/>
      <c r="H22" s="292"/>
      <c r="I22" s="293"/>
      <c r="J22" s="291"/>
      <c r="K22" s="292"/>
      <c r="L22" s="292"/>
      <c r="M22" s="292"/>
      <c r="N22" s="293"/>
      <c r="O22" s="291">
        <f>P22</f>
        <v>20.041</v>
      </c>
      <c r="P22" s="292">
        <v>20.041</v>
      </c>
      <c r="Q22" s="292"/>
      <c r="R22" s="292"/>
      <c r="S22" s="293"/>
    </row>
    <row r="23" spans="1:19" ht="15">
      <c r="A23" s="294" t="s">
        <v>559</v>
      </c>
      <c r="B23" s="288"/>
      <c r="C23" s="289" t="s">
        <v>560</v>
      </c>
      <c r="D23" s="290"/>
      <c r="E23" s="291"/>
      <c r="F23" s="292"/>
      <c r="G23" s="292"/>
      <c r="H23" s="292"/>
      <c r="I23" s="293"/>
      <c r="J23" s="291">
        <v>379.891</v>
      </c>
      <c r="K23" s="292">
        <v>322.748</v>
      </c>
      <c r="L23" s="292"/>
      <c r="M23" s="292">
        <v>57.143</v>
      </c>
      <c r="N23" s="293"/>
      <c r="O23" s="291"/>
      <c r="P23" s="292"/>
      <c r="Q23" s="292"/>
      <c r="R23" s="292"/>
      <c r="S23" s="293"/>
    </row>
    <row r="24" spans="1:19" ht="15">
      <c r="A24" s="287" t="s">
        <v>561</v>
      </c>
      <c r="B24" s="288"/>
      <c r="C24" s="289" t="s">
        <v>562</v>
      </c>
      <c r="D24" s="290"/>
      <c r="E24" s="291">
        <v>5.283</v>
      </c>
      <c r="F24" s="292">
        <v>3.767</v>
      </c>
      <c r="G24" s="292"/>
      <c r="H24" s="292">
        <v>1.435</v>
      </c>
      <c r="I24" s="293">
        <v>0.08</v>
      </c>
      <c r="J24" s="291">
        <v>5.9</v>
      </c>
      <c r="K24" s="292">
        <v>4.774</v>
      </c>
      <c r="L24" s="292"/>
      <c r="M24" s="292">
        <v>1.074</v>
      </c>
      <c r="N24" s="293">
        <v>0.052</v>
      </c>
      <c r="O24" s="291">
        <v>5.283</v>
      </c>
      <c r="P24" s="292">
        <v>3.767</v>
      </c>
      <c r="Q24" s="292"/>
      <c r="R24" s="292">
        <v>1.435</v>
      </c>
      <c r="S24" s="293">
        <v>0.08</v>
      </c>
    </row>
    <row r="25" spans="1:19" ht="15">
      <c r="A25" s="287"/>
      <c r="B25" s="288"/>
      <c r="C25" s="289" t="s">
        <v>563</v>
      </c>
      <c r="D25" s="290"/>
      <c r="E25" s="295">
        <f>E24/E15</f>
        <v>0.013839516101568375</v>
      </c>
      <c r="F25" s="296">
        <f>F24/F15</f>
        <v>0.01148598173585596</v>
      </c>
      <c r="G25" s="296"/>
      <c r="H25" s="296">
        <f>H24/H15</f>
        <v>0.01972644167984054</v>
      </c>
      <c r="I25" s="297">
        <f>I24/I15</f>
        <v>0.026393929396238865</v>
      </c>
      <c r="J25" s="295">
        <f>J24/J15</f>
        <v>0.01500031780334329</v>
      </c>
      <c r="K25" s="296">
        <f>K24/K15</f>
        <v>0.014200641319285386</v>
      </c>
      <c r="L25" s="296"/>
      <c r="M25" s="296">
        <f>M24/M15</f>
        <v>0.014395432064015442</v>
      </c>
      <c r="N25" s="297">
        <f>N24/N15</f>
        <v>0.016290726817042606</v>
      </c>
      <c r="O25" s="295">
        <f>O24/O15</f>
        <v>0.014065869698341279</v>
      </c>
      <c r="P25" s="296">
        <f>P24/P15</f>
        <v>0.011705228356047752</v>
      </c>
      <c r="Q25" s="296"/>
      <c r="R25" s="296">
        <f>R24/R15</f>
        <v>0.019710726206337653</v>
      </c>
      <c r="S25" s="297">
        <f>S24/S15</f>
        <v>0.02589834898025251</v>
      </c>
    </row>
    <row r="26" spans="1:19" ht="30">
      <c r="A26" s="294" t="s">
        <v>564</v>
      </c>
      <c r="B26" s="288"/>
      <c r="C26" s="289" t="s">
        <v>565</v>
      </c>
      <c r="D26" s="290"/>
      <c r="E26" s="291"/>
      <c r="F26" s="292"/>
      <c r="G26" s="292"/>
      <c r="H26" s="292"/>
      <c r="I26" s="293">
        <v>0.161</v>
      </c>
      <c r="J26" s="291">
        <f>N26</f>
        <v>0.161</v>
      </c>
      <c r="K26" s="292"/>
      <c r="L26" s="292"/>
      <c r="M26" s="292"/>
      <c r="N26" s="293">
        <v>0.161</v>
      </c>
      <c r="O26" s="291"/>
      <c r="P26" s="292"/>
      <c r="Q26" s="292"/>
      <c r="R26" s="292"/>
      <c r="S26" s="293">
        <v>0.161</v>
      </c>
    </row>
    <row r="27" spans="1:19" ht="15">
      <c r="A27" s="287" t="s">
        <v>156</v>
      </c>
      <c r="B27" s="288"/>
      <c r="C27" s="289" t="s">
        <v>566</v>
      </c>
      <c r="D27" s="290"/>
      <c r="E27" s="291">
        <f>E28+E34+I26</f>
        <v>376.45</v>
      </c>
      <c r="F27" s="292">
        <f>F28+F34+F35</f>
        <v>324.198</v>
      </c>
      <c r="G27" s="292"/>
      <c r="H27" s="292">
        <f>H28+H33+H34+H35</f>
        <v>71.31</v>
      </c>
      <c r="I27" s="293">
        <f>I28+I33</f>
        <v>2.79</v>
      </c>
      <c r="J27" s="291">
        <v>387.425</v>
      </c>
      <c r="K27" s="292">
        <v>331.408</v>
      </c>
      <c r="L27" s="292"/>
      <c r="M27" s="292">
        <v>73.533</v>
      </c>
      <c r="N27" s="293">
        <v>3.14</v>
      </c>
      <c r="O27" s="291">
        <f>O28+O34+S26</f>
        <v>370.307</v>
      </c>
      <c r="P27" s="292">
        <f>P28+P34+P35</f>
        <v>318.05400000000003</v>
      </c>
      <c r="Q27" s="292"/>
      <c r="R27" s="292">
        <f>R28+R34+R35</f>
        <v>68.279</v>
      </c>
      <c r="S27" s="293">
        <f>S28+S33+0.001</f>
        <v>2.8489999999999998</v>
      </c>
    </row>
    <row r="28" spans="1:19" ht="15" customHeight="1">
      <c r="A28" s="298"/>
      <c r="B28" s="299"/>
      <c r="C28" s="300" t="s">
        <v>567</v>
      </c>
      <c r="D28" s="301"/>
      <c r="E28" s="1030">
        <f>F28+H28+I28</f>
        <v>224.135</v>
      </c>
      <c r="F28" s="1026">
        <v>165.441</v>
      </c>
      <c r="G28" s="1026"/>
      <c r="H28" s="1026">
        <v>55.904</v>
      </c>
      <c r="I28" s="1028">
        <v>2.79</v>
      </c>
      <c r="J28" s="1030">
        <f>K28+M28+N28</f>
        <v>232.59400000000002</v>
      </c>
      <c r="K28" s="1026">
        <v>171.903</v>
      </c>
      <c r="L28" s="1026"/>
      <c r="M28" s="1026">
        <v>57.712</v>
      </c>
      <c r="N28" s="1028">
        <v>2.979</v>
      </c>
      <c r="O28" s="1030">
        <f>P28+R28+S28</f>
        <v>217.991</v>
      </c>
      <c r="P28" s="1026">
        <v>159.239</v>
      </c>
      <c r="Q28" s="1026"/>
      <c r="R28" s="1026">
        <v>55.904</v>
      </c>
      <c r="S28" s="1028">
        <v>2.848</v>
      </c>
    </row>
    <row r="29" spans="1:19" ht="15" customHeight="1">
      <c r="A29" s="302" t="s">
        <v>568</v>
      </c>
      <c r="B29" s="303"/>
      <c r="C29" s="304" t="s">
        <v>569</v>
      </c>
      <c r="D29" s="305"/>
      <c r="E29" s="1031"/>
      <c r="F29" s="1027"/>
      <c r="G29" s="1027"/>
      <c r="H29" s="1027"/>
      <c r="I29" s="1029"/>
      <c r="J29" s="1031"/>
      <c r="K29" s="1027"/>
      <c r="L29" s="1027"/>
      <c r="M29" s="1027"/>
      <c r="N29" s="1029"/>
      <c r="O29" s="1031"/>
      <c r="P29" s="1027"/>
      <c r="Q29" s="1027"/>
      <c r="R29" s="1027"/>
      <c r="S29" s="1029"/>
    </row>
    <row r="30" spans="1:19" ht="15" customHeight="1" outlineLevel="1">
      <c r="A30" s="287"/>
      <c r="B30" s="288"/>
      <c r="C30" s="289" t="s">
        <v>570</v>
      </c>
      <c r="D30" s="290"/>
      <c r="E30" s="291"/>
      <c r="F30" s="292"/>
      <c r="G30" s="292"/>
      <c r="H30" s="292"/>
      <c r="I30" s="293"/>
      <c r="J30" s="926"/>
      <c r="K30" s="292"/>
      <c r="L30" s="292"/>
      <c r="M30" s="292"/>
      <c r="N30" s="293"/>
      <c r="O30" s="291"/>
      <c r="P30" s="292"/>
      <c r="Q30" s="292"/>
      <c r="R30" s="292"/>
      <c r="S30" s="293"/>
    </row>
    <row r="31" spans="1:19" ht="30" customHeight="1" outlineLevel="1">
      <c r="A31" s="294"/>
      <c r="B31" s="288"/>
      <c r="C31" s="289" t="s">
        <v>571</v>
      </c>
      <c r="D31" s="290"/>
      <c r="E31" s="291"/>
      <c r="F31" s="292"/>
      <c r="G31" s="292"/>
      <c r="H31" s="292"/>
      <c r="I31" s="293"/>
      <c r="J31" s="927"/>
      <c r="K31" s="292"/>
      <c r="L31" s="292"/>
      <c r="M31" s="292"/>
      <c r="N31" s="293"/>
      <c r="O31" s="291"/>
      <c r="P31" s="292"/>
      <c r="Q31" s="292"/>
      <c r="R31" s="292"/>
      <c r="S31" s="293"/>
    </row>
    <row r="32" spans="1:19" ht="15" customHeight="1" outlineLevel="1">
      <c r="A32" s="287"/>
      <c r="B32" s="288"/>
      <c r="C32" s="289" t="s">
        <v>572</v>
      </c>
      <c r="D32" s="290"/>
      <c r="E32" s="291"/>
      <c r="F32" s="292"/>
      <c r="G32" s="292"/>
      <c r="H32" s="292"/>
      <c r="I32" s="293"/>
      <c r="J32" s="926"/>
      <c r="K32" s="292"/>
      <c r="L32" s="292"/>
      <c r="M32" s="292"/>
      <c r="N32" s="293"/>
      <c r="O32" s="291"/>
      <c r="P32" s="292"/>
      <c r="Q32" s="292"/>
      <c r="R32" s="292"/>
      <c r="S32" s="293"/>
    </row>
    <row r="33" spans="1:19" ht="15">
      <c r="A33" s="287" t="s">
        <v>573</v>
      </c>
      <c r="B33" s="288"/>
      <c r="C33" s="289" t="s">
        <v>1256</v>
      </c>
      <c r="D33" s="290"/>
      <c r="E33" s="291"/>
      <c r="F33" s="292"/>
      <c r="G33" s="292"/>
      <c r="H33" s="292"/>
      <c r="I33" s="293"/>
      <c r="J33" s="927"/>
      <c r="K33" s="292"/>
      <c r="L33" s="292"/>
      <c r="M33" s="292"/>
      <c r="N33" s="293"/>
      <c r="O33" s="291"/>
      <c r="P33" s="292"/>
      <c r="Q33" s="292"/>
      <c r="R33" s="292"/>
      <c r="S33" s="293"/>
    </row>
    <row r="34" spans="1:19" ht="15">
      <c r="A34" s="298" t="s">
        <v>1251</v>
      </c>
      <c r="B34" s="923" t="s">
        <v>1252</v>
      </c>
      <c r="C34" s="924" t="s">
        <v>1253</v>
      </c>
      <c r="D34" s="925"/>
      <c r="E34" s="890">
        <v>152.154</v>
      </c>
      <c r="F34" s="891">
        <v>139.78</v>
      </c>
      <c r="G34" s="891"/>
      <c r="H34" s="891">
        <v>12.375</v>
      </c>
      <c r="I34" s="892"/>
      <c r="J34" s="926">
        <v>154.67</v>
      </c>
      <c r="K34" s="292">
        <v>142.41</v>
      </c>
      <c r="L34" s="891"/>
      <c r="M34" s="292">
        <v>12.629</v>
      </c>
      <c r="N34" s="293">
        <v>0</v>
      </c>
      <c r="O34" s="890">
        <f>P34+R34</f>
        <v>152.155</v>
      </c>
      <c r="P34" s="891">
        <v>139.78</v>
      </c>
      <c r="Q34" s="891"/>
      <c r="R34" s="891">
        <v>12.375</v>
      </c>
      <c r="S34" s="892"/>
    </row>
    <row r="35" spans="1:19" ht="30.75" thickBot="1">
      <c r="A35" s="306" t="s">
        <v>157</v>
      </c>
      <c r="B35" s="307"/>
      <c r="C35" s="308" t="s">
        <v>1257</v>
      </c>
      <c r="D35" s="309"/>
      <c r="E35" s="310"/>
      <c r="F35" s="311">
        <f>H18</f>
        <v>18.977</v>
      </c>
      <c r="G35" s="311"/>
      <c r="H35" s="311">
        <f>I20</f>
        <v>3.031</v>
      </c>
      <c r="I35" s="312"/>
      <c r="J35" s="310"/>
      <c r="K35" s="311"/>
      <c r="L35" s="311"/>
      <c r="M35" s="311"/>
      <c r="N35" s="312"/>
      <c r="O35" s="310"/>
      <c r="P35" s="311">
        <f>R18</f>
        <v>19.035</v>
      </c>
      <c r="Q35" s="311"/>
      <c r="R35" s="311">
        <f>S20</f>
        <v>0</v>
      </c>
      <c r="S35" s="312"/>
    </row>
    <row r="37" spans="1:19" ht="26.25" customHeight="1">
      <c r="A37" s="1024" t="str">
        <f>'[2]6'!A36:H36</f>
        <v>Начальник ПЭО</v>
      </c>
      <c r="B37" s="1024"/>
      <c r="C37" s="1024"/>
      <c r="D37" s="1024"/>
      <c r="E37" s="1024"/>
      <c r="F37" s="1024"/>
      <c r="G37" s="1024"/>
      <c r="H37" s="1024"/>
      <c r="I37" s="1024"/>
      <c r="J37" s="1025" t="str">
        <f>'[2]6'!I36</f>
        <v>М.С. Мироненко</v>
      </c>
      <c r="K37" s="1025"/>
      <c r="L37" s="1025"/>
      <c r="M37" s="1025"/>
      <c r="N37" s="1025"/>
      <c r="O37" s="1025"/>
      <c r="P37" s="1025"/>
      <c r="Q37" s="1025"/>
      <c r="R37" s="1025"/>
      <c r="S37" s="1025"/>
    </row>
    <row r="39" ht="15">
      <c r="E39" s="313"/>
    </row>
  </sheetData>
  <sheetProtection/>
  <mergeCells count="39">
    <mergeCell ref="P1:S1"/>
    <mergeCell ref="A2:G2"/>
    <mergeCell ref="K2:S2"/>
    <mergeCell ref="A3:G3"/>
    <mergeCell ref="K3:S3"/>
    <mergeCell ref="A4:G4"/>
    <mergeCell ref="K4:S4"/>
    <mergeCell ref="A5:G5"/>
    <mergeCell ref="K5:S5"/>
    <mergeCell ref="A6:G6"/>
    <mergeCell ref="K6:S6"/>
    <mergeCell ref="A7:G7"/>
    <mergeCell ref="K7:S7"/>
    <mergeCell ref="A9:S9"/>
    <mergeCell ref="A10:S10"/>
    <mergeCell ref="R11:S11"/>
    <mergeCell ref="A12:A13"/>
    <mergeCell ref="B12:D13"/>
    <mergeCell ref="E12:I12"/>
    <mergeCell ref="J12:N12"/>
    <mergeCell ref="O12:S12"/>
    <mergeCell ref="N28:N29"/>
    <mergeCell ref="O28:O29"/>
    <mergeCell ref="B14:D14"/>
    <mergeCell ref="E28:E29"/>
    <mergeCell ref="F28:F29"/>
    <mergeCell ref="G28:G29"/>
    <mergeCell ref="H28:H29"/>
    <mergeCell ref="I28:I29"/>
    <mergeCell ref="A37:I37"/>
    <mergeCell ref="J37:S37"/>
    <mergeCell ref="P28:P29"/>
    <mergeCell ref="Q28:Q29"/>
    <mergeCell ref="R28:R29"/>
    <mergeCell ref="S28:S29"/>
    <mergeCell ref="J28:J29"/>
    <mergeCell ref="K28:K29"/>
    <mergeCell ref="L28:L29"/>
    <mergeCell ref="M28:M29"/>
  </mergeCells>
  <printOptions/>
  <pageMargins left="0.3937007874015748" right="0.3937007874015748" top="0.7480314960629921" bottom="0.3937007874015748" header="0.31496062992125984" footer="0.31496062992125984"/>
  <pageSetup fitToHeight="1" fitToWidth="1"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0"/>
  <sheetViews>
    <sheetView zoomScalePageLayoutView="0" workbookViewId="0" topLeftCell="A5">
      <selection activeCell="F37" sqref="F37"/>
    </sheetView>
  </sheetViews>
  <sheetFormatPr defaultColWidth="8.00390625" defaultRowHeight="12.75" outlineLevelRow="1" outlineLevelCol="1"/>
  <cols>
    <col min="1" max="1" width="4.75390625" style="651" customWidth="1"/>
    <col min="2" max="2" width="43.75390625" style="651" customWidth="1"/>
    <col min="3" max="3" width="11.25390625" style="651" customWidth="1"/>
    <col min="4" max="4" width="12.625" style="651" customWidth="1"/>
    <col min="5" max="5" width="11.375" style="651" customWidth="1" outlineLevel="1"/>
    <col min="6" max="6" width="13.125" style="651" customWidth="1"/>
    <col min="7" max="7" width="15.625" style="651" customWidth="1"/>
    <col min="8" max="8" width="8.00390625" style="651" customWidth="1"/>
    <col min="9" max="9" width="11.375" style="651" customWidth="1"/>
    <col min="10" max="10" width="8.00390625" style="651" customWidth="1"/>
    <col min="11" max="11" width="22.375" style="651" customWidth="1"/>
    <col min="12" max="16384" width="8.00390625" style="651" customWidth="1"/>
  </cols>
  <sheetData>
    <row r="1" ht="12.75">
      <c r="F1" s="652" t="s">
        <v>809</v>
      </c>
    </row>
    <row r="2" spans="1:6" ht="33.75" customHeight="1">
      <c r="A2" s="1161" t="s">
        <v>810</v>
      </c>
      <c r="B2" s="1161"/>
      <c r="C2" s="1161"/>
      <c r="D2" s="1161"/>
      <c r="E2" s="1161"/>
      <c r="F2" s="1161"/>
    </row>
    <row r="3" spans="1:6" ht="15" customHeight="1">
      <c r="A3" s="1162" t="str">
        <f>'[2]24'!A3:K3</f>
        <v>ОАО "Электротехнический комплекс"</v>
      </c>
      <c r="B3" s="1162"/>
      <c r="C3" s="1162"/>
      <c r="D3" s="1162"/>
      <c r="E3" s="1162"/>
      <c r="F3" s="1162"/>
    </row>
    <row r="4" spans="1:6" ht="15" customHeight="1" thickBot="1">
      <c r="A4" s="653"/>
      <c r="B4" s="653"/>
      <c r="C4" s="653"/>
      <c r="D4" s="653"/>
      <c r="E4" s="653"/>
      <c r="F4" s="653"/>
    </row>
    <row r="5" spans="1:6" ht="25.5" customHeight="1">
      <c r="A5" s="1163" t="s">
        <v>597</v>
      </c>
      <c r="B5" s="1165" t="s">
        <v>99</v>
      </c>
      <c r="C5" s="1167" t="s">
        <v>788</v>
      </c>
      <c r="D5" s="1169" t="s">
        <v>1232</v>
      </c>
      <c r="E5" s="1171" t="s">
        <v>1233</v>
      </c>
      <c r="F5" s="1173" t="s">
        <v>1248</v>
      </c>
    </row>
    <row r="6" spans="1:6" ht="12.75">
      <c r="A6" s="1164"/>
      <c r="B6" s="1166"/>
      <c r="C6" s="1168"/>
      <c r="D6" s="1170"/>
      <c r="E6" s="1172"/>
      <c r="F6" s="1174"/>
    </row>
    <row r="7" spans="1:6" ht="13.5" thickBot="1">
      <c r="A7" s="654">
        <v>1</v>
      </c>
      <c r="B7" s="655">
        <v>2</v>
      </c>
      <c r="C7" s="656">
        <f>+B7+1</f>
        <v>3</v>
      </c>
      <c r="D7" s="654">
        <f>+B7+1</f>
        <v>3</v>
      </c>
      <c r="E7" s="657">
        <f>+C7+1</f>
        <v>4</v>
      </c>
      <c r="F7" s="658">
        <v>5</v>
      </c>
    </row>
    <row r="8" spans="1:8" ht="29.25" customHeight="1">
      <c r="A8" s="659" t="s">
        <v>26</v>
      </c>
      <c r="B8" s="660" t="s">
        <v>811</v>
      </c>
      <c r="C8" s="661" t="s">
        <v>805</v>
      </c>
      <c r="D8" s="662">
        <f>D31/4!E24</f>
        <v>2197.085226197236</v>
      </c>
      <c r="E8" s="663">
        <v>2426.98</v>
      </c>
      <c r="F8" s="664">
        <f>F31/4!O24</f>
        <v>2676.95894</v>
      </c>
      <c r="H8" s="665"/>
    </row>
    <row r="9" spans="1:9" ht="18" customHeight="1" hidden="1" outlineLevel="1">
      <c r="A9" s="666" t="s">
        <v>792</v>
      </c>
      <c r="B9" s="667" t="s">
        <v>812</v>
      </c>
      <c r="C9" s="668"/>
      <c r="D9" s="669"/>
      <c r="E9" s="670"/>
      <c r="F9" s="671"/>
      <c r="I9" s="672"/>
    </row>
    <row r="10" spans="1:9" ht="18" customHeight="1" hidden="1" outlineLevel="1">
      <c r="A10" s="666" t="s">
        <v>813</v>
      </c>
      <c r="B10" s="667" t="s">
        <v>590</v>
      </c>
      <c r="C10" s="668"/>
      <c r="D10" s="669"/>
      <c r="E10" s="670"/>
      <c r="F10" s="671"/>
      <c r="I10" s="672"/>
    </row>
    <row r="11" spans="1:9" ht="18" customHeight="1" hidden="1" outlineLevel="1">
      <c r="A11" s="666" t="s">
        <v>814</v>
      </c>
      <c r="B11" s="667" t="s">
        <v>591</v>
      </c>
      <c r="C11" s="668"/>
      <c r="D11" s="669"/>
      <c r="E11" s="670"/>
      <c r="F11" s="671"/>
      <c r="I11" s="672"/>
    </row>
    <row r="12" spans="1:9" ht="18" customHeight="1" hidden="1" outlineLevel="1">
      <c r="A12" s="666" t="s">
        <v>793</v>
      </c>
      <c r="B12" s="667" t="s">
        <v>815</v>
      </c>
      <c r="C12" s="668"/>
      <c r="D12" s="669"/>
      <c r="E12" s="670"/>
      <c r="F12" s="671"/>
      <c r="I12" s="672"/>
    </row>
    <row r="13" spans="1:9" ht="27" customHeight="1" collapsed="1">
      <c r="A13" s="666" t="s">
        <v>816</v>
      </c>
      <c r="B13" s="667" t="s">
        <v>817</v>
      </c>
      <c r="C13" s="668" t="s">
        <v>818</v>
      </c>
      <c r="D13" s="669">
        <f>4!F27+4!H27+4!I27+4!E24</f>
        <v>403.581</v>
      </c>
      <c r="E13" s="670">
        <f>4!K27+4!M27+4!N27+4!J24</f>
        <v>413.981</v>
      </c>
      <c r="F13" s="671">
        <f>4!P27+4!R27+4!S27+4!O24</f>
        <v>394.46500000000003</v>
      </c>
      <c r="I13" s="672"/>
    </row>
    <row r="14" spans="1:9" ht="15.75" hidden="1" outlineLevel="1">
      <c r="A14" s="666" t="s">
        <v>717</v>
      </c>
      <c r="B14" s="667" t="s">
        <v>97</v>
      </c>
      <c r="C14" s="673"/>
      <c r="D14" s="669"/>
      <c r="E14" s="670"/>
      <c r="F14" s="671"/>
      <c r="I14" s="674"/>
    </row>
    <row r="15" spans="1:9" ht="15.75" hidden="1" outlineLevel="1">
      <c r="A15" s="666" t="s">
        <v>719</v>
      </c>
      <c r="B15" s="667" t="s">
        <v>41</v>
      </c>
      <c r="C15" s="673"/>
      <c r="D15" s="669" t="e">
        <f>#REF!</f>
        <v>#REF!</v>
      </c>
      <c r="E15" s="670">
        <f>F15</f>
        <v>394.46500000000003</v>
      </c>
      <c r="F15" s="671">
        <f>F17</f>
        <v>394.46500000000003</v>
      </c>
      <c r="H15" s="652"/>
      <c r="I15" s="672"/>
    </row>
    <row r="16" spans="1:9" ht="15.75" hidden="1" outlineLevel="1">
      <c r="A16" s="666"/>
      <c r="B16" s="675" t="s">
        <v>794</v>
      </c>
      <c r="C16" s="673"/>
      <c r="D16" s="669"/>
      <c r="E16" s="670"/>
      <c r="F16" s="671"/>
      <c r="H16" s="652"/>
      <c r="I16" s="672"/>
    </row>
    <row r="17" spans="1:9" ht="15.75" hidden="1" outlineLevel="1">
      <c r="A17" s="666"/>
      <c r="B17" s="675" t="s">
        <v>795</v>
      </c>
      <c r="C17" s="673"/>
      <c r="D17" s="669" t="e">
        <f>#REF!</f>
        <v>#REF!</v>
      </c>
      <c r="E17" s="670">
        <f>F17</f>
        <v>394.46500000000003</v>
      </c>
      <c r="F17" s="671">
        <f>F13</f>
        <v>394.46500000000003</v>
      </c>
      <c r="H17" s="652"/>
      <c r="I17" s="672"/>
    </row>
    <row r="18" spans="1:9" ht="15.75" hidden="1" outlineLevel="1">
      <c r="A18" s="666" t="s">
        <v>721</v>
      </c>
      <c r="B18" s="667" t="s">
        <v>39</v>
      </c>
      <c r="C18" s="673"/>
      <c r="D18" s="669"/>
      <c r="E18" s="670"/>
      <c r="F18" s="671"/>
      <c r="I18" s="672"/>
    </row>
    <row r="19" spans="1:6" ht="12.75" collapsed="1">
      <c r="A19" s="666" t="s">
        <v>28</v>
      </c>
      <c r="B19" s="667" t="s">
        <v>819</v>
      </c>
      <c r="C19" s="673" t="s">
        <v>799</v>
      </c>
      <c r="D19" s="676">
        <f>4!E25</f>
        <v>0.013839516101568375</v>
      </c>
      <c r="E19" s="677">
        <f>4!J25</f>
        <v>0.01500031780334329</v>
      </c>
      <c r="F19" s="678">
        <f>4!O25</f>
        <v>0.014065869698341279</v>
      </c>
    </row>
    <row r="20" spans="1:6" ht="12.75" hidden="1" outlineLevel="1">
      <c r="A20" s="666" t="s">
        <v>820</v>
      </c>
      <c r="B20" s="667" t="s">
        <v>97</v>
      </c>
      <c r="C20" s="673"/>
      <c r="D20" s="669"/>
      <c r="E20" s="670"/>
      <c r="F20" s="671"/>
    </row>
    <row r="21" spans="1:6" ht="12.75" hidden="1" outlineLevel="1">
      <c r="A21" s="666" t="s">
        <v>821</v>
      </c>
      <c r="B21" s="667" t="s">
        <v>41</v>
      </c>
      <c r="C21" s="673"/>
      <c r="D21" s="669" t="e">
        <f>#REF!</f>
        <v>#REF!</v>
      </c>
      <c r="E21" s="670" t="e">
        <f>F21</f>
        <v>#REF!</v>
      </c>
      <c r="F21" s="671" t="e">
        <f>F23</f>
        <v>#REF!</v>
      </c>
    </row>
    <row r="22" spans="1:6" ht="12.75" hidden="1" outlineLevel="1">
      <c r="A22" s="666"/>
      <c r="B22" s="675" t="s">
        <v>794</v>
      </c>
      <c r="C22" s="673"/>
      <c r="D22" s="669"/>
      <c r="E22" s="670"/>
      <c r="F22" s="671"/>
    </row>
    <row r="23" spans="1:6" ht="12.75" hidden="1" outlineLevel="1">
      <c r="A23" s="666"/>
      <c r="B23" s="675" t="s">
        <v>795</v>
      </c>
      <c r="C23" s="673"/>
      <c r="D23" s="669" t="e">
        <f>#REF!</f>
        <v>#REF!</v>
      </c>
      <c r="E23" s="670" t="e">
        <f>F23</f>
        <v>#REF!</v>
      </c>
      <c r="F23" s="671" t="e">
        <f>#REF!</f>
        <v>#REF!</v>
      </c>
    </row>
    <row r="24" spans="1:6" ht="12.75" hidden="1" outlineLevel="1">
      <c r="A24" s="666" t="s">
        <v>822</v>
      </c>
      <c r="B24" s="667" t="s">
        <v>39</v>
      </c>
      <c r="C24" s="673"/>
      <c r="D24" s="669" t="e">
        <f>#REF!</f>
        <v>#REF!</v>
      </c>
      <c r="E24" s="670" t="e">
        <f>F24</f>
        <v>#REF!</v>
      </c>
      <c r="F24" s="671" t="e">
        <f>#REF!</f>
        <v>#REF!</v>
      </c>
    </row>
    <row r="25" spans="1:6" ht="12.75" collapsed="1">
      <c r="A25" s="666" t="s">
        <v>202</v>
      </c>
      <c r="B25" s="667" t="s">
        <v>823</v>
      </c>
      <c r="C25" s="673" t="s">
        <v>818</v>
      </c>
      <c r="D25" s="669">
        <f>4!E27</f>
        <v>376.45</v>
      </c>
      <c r="E25" s="670">
        <f>4!J27</f>
        <v>387.425</v>
      </c>
      <c r="F25" s="671">
        <f>4!O27</f>
        <v>370.307</v>
      </c>
    </row>
    <row r="26" spans="1:6" ht="12.75" hidden="1" outlineLevel="1">
      <c r="A26" s="666" t="s">
        <v>674</v>
      </c>
      <c r="B26" s="667" t="s">
        <v>97</v>
      </c>
      <c r="C26" s="673"/>
      <c r="D26" s="669"/>
      <c r="E26" s="670"/>
      <c r="F26" s="671"/>
    </row>
    <row r="27" spans="1:6" ht="12.75" hidden="1" outlineLevel="1">
      <c r="A27" s="666" t="s">
        <v>676</v>
      </c>
      <c r="B27" s="667" t="s">
        <v>41</v>
      </c>
      <c r="C27" s="673"/>
      <c r="D27" s="669" t="e">
        <f>#REF!</f>
        <v>#REF!</v>
      </c>
      <c r="E27" s="670">
        <f>F27</f>
        <v>74.027</v>
      </c>
      <c r="F27" s="671">
        <f>F29</f>
        <v>74.027</v>
      </c>
    </row>
    <row r="28" spans="1:6" ht="12.75" hidden="1" outlineLevel="1">
      <c r="A28" s="666"/>
      <c r="B28" s="675" t="s">
        <v>794</v>
      </c>
      <c r="C28" s="673"/>
      <c r="D28" s="669"/>
      <c r="E28" s="670"/>
      <c r="F28" s="671"/>
    </row>
    <row r="29" spans="1:6" ht="12.75" hidden="1" outlineLevel="1">
      <c r="A29" s="666"/>
      <c r="B29" s="675" t="s">
        <v>795</v>
      </c>
      <c r="C29" s="673"/>
      <c r="D29" s="669" t="e">
        <f>#REF!</f>
        <v>#REF!</v>
      </c>
      <c r="E29" s="670">
        <f>F29</f>
        <v>74.027</v>
      </c>
      <c r="F29" s="671">
        <f>'[2]6'!F33</f>
        <v>74.027</v>
      </c>
    </row>
    <row r="30" spans="1:6" ht="12.75" hidden="1" outlineLevel="1">
      <c r="A30" s="666" t="s">
        <v>678</v>
      </c>
      <c r="B30" s="667" t="s">
        <v>39</v>
      </c>
      <c r="C30" s="673"/>
      <c r="D30" s="669"/>
      <c r="E30" s="670"/>
      <c r="F30" s="671" t="e">
        <f>#REF!</f>
        <v>#REF!</v>
      </c>
    </row>
    <row r="31" spans="1:6" ht="15" customHeight="1" collapsed="1">
      <c r="A31" s="666" t="s">
        <v>204</v>
      </c>
      <c r="B31" s="667" t="s">
        <v>824</v>
      </c>
      <c r="C31" s="673" t="s">
        <v>196</v>
      </c>
      <c r="D31" s="669">
        <f>'[4]передача ээ '!$V$37</f>
        <v>11607.201249999998</v>
      </c>
      <c r="E31" s="670">
        <v>14314.34</v>
      </c>
      <c r="F31" s="671">
        <f>'2020-2024'!E61</f>
        <v>14142.374080020001</v>
      </c>
    </row>
    <row r="32" spans="1:6" ht="12.75" hidden="1" outlineLevel="1">
      <c r="A32" s="666" t="s">
        <v>605</v>
      </c>
      <c r="B32" s="667" t="s">
        <v>97</v>
      </c>
      <c r="C32" s="673"/>
      <c r="D32" s="669"/>
      <c r="E32" s="670"/>
      <c r="F32" s="671"/>
    </row>
    <row r="33" spans="1:6" ht="12.75" hidden="1" outlineLevel="1">
      <c r="A33" s="666" t="s">
        <v>607</v>
      </c>
      <c r="B33" s="667" t="s">
        <v>41</v>
      </c>
      <c r="C33" s="673"/>
      <c r="D33" s="669"/>
      <c r="E33" s="670"/>
      <c r="F33" s="671"/>
    </row>
    <row r="34" spans="1:6" ht="12.75" hidden="1" outlineLevel="1">
      <c r="A34" s="666"/>
      <c r="B34" s="675" t="s">
        <v>794</v>
      </c>
      <c r="C34" s="673"/>
      <c r="D34" s="669"/>
      <c r="E34" s="670"/>
      <c r="F34" s="671"/>
    </row>
    <row r="35" spans="1:6" ht="12.75" hidden="1" outlineLevel="1">
      <c r="A35" s="666"/>
      <c r="B35" s="675" t="s">
        <v>795</v>
      </c>
      <c r="C35" s="673"/>
      <c r="D35" s="669"/>
      <c r="E35" s="670"/>
      <c r="F35" s="671"/>
    </row>
    <row r="36" spans="1:6" ht="12.75" hidden="1" outlineLevel="1">
      <c r="A36" s="666" t="s">
        <v>803</v>
      </c>
      <c r="B36" s="667" t="s">
        <v>39</v>
      </c>
      <c r="C36" s="673"/>
      <c r="D36" s="669"/>
      <c r="E36" s="670"/>
      <c r="F36" s="671"/>
    </row>
    <row r="37" spans="1:6" ht="27.75" customHeight="1" collapsed="1" thickBot="1">
      <c r="A37" s="679">
        <v>6</v>
      </c>
      <c r="B37" s="680" t="s">
        <v>825</v>
      </c>
      <c r="C37" s="681" t="s">
        <v>826</v>
      </c>
      <c r="D37" s="682">
        <f>D31/D25</f>
        <v>30.833314517200154</v>
      </c>
      <c r="E37" s="683">
        <f>E31/E25</f>
        <v>36.94738336452217</v>
      </c>
      <c r="F37" s="684">
        <f>F31/F25</f>
        <v>38.19094448665567</v>
      </c>
    </row>
    <row r="38" spans="1:6" ht="18" customHeight="1" hidden="1" outlineLevel="1">
      <c r="A38" s="685" t="s">
        <v>806</v>
      </c>
      <c r="B38" s="686" t="s">
        <v>97</v>
      </c>
      <c r="C38" s="687"/>
      <c r="D38" s="687"/>
      <c r="E38" s="688"/>
      <c r="F38" s="688"/>
    </row>
    <row r="39" spans="1:6" ht="18" customHeight="1" hidden="1" outlineLevel="1">
      <c r="A39" s="689" t="s">
        <v>807</v>
      </c>
      <c r="B39" s="690" t="s">
        <v>41</v>
      </c>
      <c r="C39" s="691"/>
      <c r="D39" s="691"/>
      <c r="E39" s="692"/>
      <c r="F39" s="692"/>
    </row>
    <row r="40" spans="1:6" ht="18" customHeight="1" hidden="1" outlineLevel="1">
      <c r="A40" s="689"/>
      <c r="B40" s="631" t="s">
        <v>794</v>
      </c>
      <c r="C40" s="691"/>
      <c r="D40" s="691"/>
      <c r="E40" s="693"/>
      <c r="F40" s="693"/>
    </row>
    <row r="41" spans="1:6" ht="18" customHeight="1" hidden="1" outlineLevel="1">
      <c r="A41" s="689"/>
      <c r="B41" s="631" t="s">
        <v>795</v>
      </c>
      <c r="C41" s="691"/>
      <c r="D41" s="691"/>
      <c r="E41" s="693"/>
      <c r="F41" s="693"/>
    </row>
    <row r="42" spans="1:6" ht="18" customHeight="1" hidden="1" outlineLevel="1">
      <c r="A42" s="689" t="s">
        <v>808</v>
      </c>
      <c r="B42" s="690" t="s">
        <v>39</v>
      </c>
      <c r="C42" s="691"/>
      <c r="D42" s="691"/>
      <c r="E42" s="693"/>
      <c r="F42" s="693"/>
    </row>
    <row r="43" spans="3:4" ht="19.5" customHeight="1" collapsed="1">
      <c r="C43" s="694"/>
      <c r="D43" s="694"/>
    </row>
    <row r="44" spans="3:4" ht="12.75">
      <c r="C44" s="694"/>
      <c r="D44" s="694"/>
    </row>
    <row r="45" spans="1:6" ht="15.75" customHeight="1">
      <c r="A45" s="1158" t="str">
        <f>'[2]24'!A42:C42</f>
        <v>Начальник ПЭО</v>
      </c>
      <c r="B45" s="1158"/>
      <c r="C45" s="1158"/>
      <c r="D45" s="695"/>
      <c r="E45" s="1159" t="str">
        <f>'[2]24'!F42</f>
        <v>М.С. Мироненко</v>
      </c>
      <c r="F45" s="1160"/>
    </row>
    <row r="46" spans="3:4" ht="12.75">
      <c r="C46" s="694"/>
      <c r="D46" s="694"/>
    </row>
    <row r="47" spans="3:4" ht="12.75">
      <c r="C47" s="694"/>
      <c r="D47" s="696"/>
    </row>
    <row r="48" spans="3:4" ht="12.75">
      <c r="C48" s="694"/>
      <c r="D48" s="694"/>
    </row>
    <row r="49" spans="3:4" ht="12.75">
      <c r="C49" s="694"/>
      <c r="D49" s="694"/>
    </row>
    <row r="50" spans="3:4" ht="12.75">
      <c r="C50" s="694"/>
      <c r="D50" s="694"/>
    </row>
    <row r="51" spans="3:4" ht="12.75">
      <c r="C51" s="694"/>
      <c r="D51" s="694"/>
    </row>
    <row r="52" spans="3:4" ht="12.75">
      <c r="C52" s="694"/>
      <c r="D52" s="694"/>
    </row>
    <row r="53" spans="3:4" ht="12.75">
      <c r="C53" s="694"/>
      <c r="D53" s="694"/>
    </row>
    <row r="54" spans="3:4" ht="12.75">
      <c r="C54" s="694"/>
      <c r="D54" s="694"/>
    </row>
    <row r="55" spans="3:4" ht="12.75">
      <c r="C55" s="694"/>
      <c r="D55" s="694"/>
    </row>
    <row r="56" spans="3:4" ht="12.75">
      <c r="C56" s="694"/>
      <c r="D56" s="694"/>
    </row>
    <row r="57" spans="3:4" ht="12.75">
      <c r="C57" s="694"/>
      <c r="D57" s="694"/>
    </row>
    <row r="58" spans="3:4" ht="12.75">
      <c r="C58" s="694"/>
      <c r="D58" s="694"/>
    </row>
    <row r="59" spans="3:4" ht="12.75">
      <c r="C59" s="694"/>
      <c r="D59" s="694"/>
    </row>
    <row r="60" spans="3:4" ht="12.75">
      <c r="C60" s="694"/>
      <c r="D60" s="694"/>
    </row>
    <row r="61" spans="3:4" ht="12.75">
      <c r="C61" s="694"/>
      <c r="D61" s="694"/>
    </row>
    <row r="62" spans="3:4" ht="12.75">
      <c r="C62" s="694"/>
      <c r="D62" s="694"/>
    </row>
    <row r="63" spans="3:4" ht="12.75">
      <c r="C63" s="694"/>
      <c r="D63" s="694"/>
    </row>
    <row r="64" spans="3:4" ht="12.75">
      <c r="C64" s="694"/>
      <c r="D64" s="694"/>
    </row>
    <row r="65" spans="3:4" ht="12.75">
      <c r="C65" s="694"/>
      <c r="D65" s="694"/>
    </row>
    <row r="66" spans="3:4" ht="12.75">
      <c r="C66" s="694"/>
      <c r="D66" s="694"/>
    </row>
    <row r="67" spans="3:4" ht="12.75">
      <c r="C67" s="694"/>
      <c r="D67" s="694"/>
    </row>
    <row r="68" spans="3:4" ht="12.75">
      <c r="C68" s="694"/>
      <c r="D68" s="694"/>
    </row>
    <row r="69" spans="3:4" ht="12.75">
      <c r="C69" s="694"/>
      <c r="D69" s="694"/>
    </row>
    <row r="70" spans="3:4" ht="12.75">
      <c r="C70" s="694"/>
      <c r="D70" s="694"/>
    </row>
    <row r="71" spans="3:4" ht="12.75">
      <c r="C71" s="694"/>
      <c r="D71" s="694"/>
    </row>
    <row r="72" spans="3:4" ht="12.75">
      <c r="C72" s="694"/>
      <c r="D72" s="694"/>
    </row>
    <row r="73" spans="3:4" ht="12.75">
      <c r="C73" s="694"/>
      <c r="D73" s="694"/>
    </row>
    <row r="74" spans="3:4" ht="12.75">
      <c r="C74" s="694"/>
      <c r="D74" s="694"/>
    </row>
    <row r="75" spans="3:4" ht="12.75">
      <c r="C75" s="694"/>
      <c r="D75" s="694"/>
    </row>
    <row r="76" spans="3:4" ht="12.75">
      <c r="C76" s="694"/>
      <c r="D76" s="694"/>
    </row>
    <row r="77" spans="3:4" ht="12.75">
      <c r="C77" s="694"/>
      <c r="D77" s="694"/>
    </row>
    <row r="78" spans="3:4" ht="12.75">
      <c r="C78" s="694"/>
      <c r="D78" s="694"/>
    </row>
    <row r="79" spans="3:4" ht="12.75">
      <c r="C79" s="694"/>
      <c r="D79" s="694"/>
    </row>
    <row r="80" spans="3:4" ht="12.75">
      <c r="C80" s="694"/>
      <c r="D80" s="694"/>
    </row>
    <row r="81" spans="3:4" ht="12.75">
      <c r="C81" s="694"/>
      <c r="D81" s="694"/>
    </row>
    <row r="82" spans="3:4" ht="12.75">
      <c r="C82" s="694"/>
      <c r="D82" s="694"/>
    </row>
    <row r="83" spans="3:4" ht="12.75">
      <c r="C83" s="694"/>
      <c r="D83" s="694"/>
    </row>
    <row r="84" spans="3:4" ht="12.75">
      <c r="C84" s="694"/>
      <c r="D84" s="694"/>
    </row>
    <row r="85" spans="3:4" ht="12.75">
      <c r="C85" s="694"/>
      <c r="D85" s="694"/>
    </row>
    <row r="86" spans="3:4" ht="12.75">
      <c r="C86" s="694"/>
      <c r="D86" s="694"/>
    </row>
    <row r="87" spans="3:4" ht="12.75">
      <c r="C87" s="694"/>
      <c r="D87" s="694"/>
    </row>
    <row r="88" spans="3:4" ht="12.75">
      <c r="C88" s="694"/>
      <c r="D88" s="694"/>
    </row>
    <row r="89" spans="3:4" ht="12.75">
      <c r="C89" s="694"/>
      <c r="D89" s="694"/>
    </row>
    <row r="90" spans="3:4" ht="12.75">
      <c r="C90" s="694"/>
      <c r="D90" s="694"/>
    </row>
    <row r="91" spans="3:4" ht="12.75">
      <c r="C91" s="694"/>
      <c r="D91" s="694"/>
    </row>
    <row r="92" spans="3:4" ht="12.75">
      <c r="C92" s="694"/>
      <c r="D92" s="694"/>
    </row>
    <row r="93" spans="3:4" ht="12.75">
      <c r="C93" s="694"/>
      <c r="D93" s="694"/>
    </row>
    <row r="94" spans="3:4" ht="12.75">
      <c r="C94" s="694"/>
      <c r="D94" s="694"/>
    </row>
    <row r="95" spans="3:4" ht="12.75">
      <c r="C95" s="694"/>
      <c r="D95" s="694"/>
    </row>
    <row r="96" spans="3:4" ht="12.75">
      <c r="C96" s="694"/>
      <c r="D96" s="694"/>
    </row>
    <row r="97" spans="3:4" ht="12.75">
      <c r="C97" s="694"/>
      <c r="D97" s="694"/>
    </row>
    <row r="98" spans="3:4" ht="12.75">
      <c r="C98" s="694"/>
      <c r="D98" s="694"/>
    </row>
    <row r="99" spans="3:4" ht="12.75">
      <c r="C99" s="694"/>
      <c r="D99" s="694"/>
    </row>
    <row r="100" spans="3:4" ht="12.75">
      <c r="C100" s="694"/>
      <c r="D100" s="694"/>
    </row>
    <row r="101" spans="3:4" ht="12.75">
      <c r="C101" s="694"/>
      <c r="D101" s="694"/>
    </row>
    <row r="102" spans="3:4" ht="12.75">
      <c r="C102" s="694"/>
      <c r="D102" s="694"/>
    </row>
    <row r="103" spans="3:4" ht="12.75">
      <c r="C103" s="694"/>
      <c r="D103" s="694"/>
    </row>
    <row r="104" spans="3:4" ht="12.75">
      <c r="C104" s="694"/>
      <c r="D104" s="694"/>
    </row>
    <row r="105" spans="3:4" ht="12.75">
      <c r="C105" s="694"/>
      <c r="D105" s="694"/>
    </row>
    <row r="106" spans="3:4" ht="12.75">
      <c r="C106" s="694"/>
      <c r="D106" s="694"/>
    </row>
    <row r="107" spans="3:4" ht="12.75">
      <c r="C107" s="694"/>
      <c r="D107" s="694"/>
    </row>
    <row r="108" spans="3:4" ht="12.75">
      <c r="C108" s="694"/>
      <c r="D108" s="694"/>
    </row>
    <row r="109" spans="3:4" ht="12.75">
      <c r="C109" s="694"/>
      <c r="D109" s="694"/>
    </row>
    <row r="110" spans="3:4" ht="12.75">
      <c r="C110" s="694"/>
      <c r="D110" s="694"/>
    </row>
    <row r="111" spans="3:4" ht="12.75">
      <c r="C111" s="694"/>
      <c r="D111" s="694"/>
    </row>
    <row r="112" spans="3:4" ht="12.75">
      <c r="C112" s="694"/>
      <c r="D112" s="694"/>
    </row>
    <row r="113" spans="3:4" ht="12.75">
      <c r="C113" s="694"/>
      <c r="D113" s="694"/>
    </row>
    <row r="114" spans="3:4" ht="12.75">
      <c r="C114" s="694"/>
      <c r="D114" s="694"/>
    </row>
    <row r="115" spans="3:4" ht="12.75">
      <c r="C115" s="694"/>
      <c r="D115" s="694"/>
    </row>
    <row r="116" spans="3:4" ht="12.75">
      <c r="C116" s="694"/>
      <c r="D116" s="694"/>
    </row>
    <row r="117" spans="3:4" ht="12.75">
      <c r="C117" s="694"/>
      <c r="D117" s="694"/>
    </row>
    <row r="118" spans="3:4" ht="12.75">
      <c r="C118" s="694"/>
      <c r="D118" s="694"/>
    </row>
    <row r="119" spans="3:4" ht="12.75">
      <c r="C119" s="694"/>
      <c r="D119" s="694"/>
    </row>
    <row r="120" spans="3:4" ht="12.75">
      <c r="C120" s="694"/>
      <c r="D120" s="694"/>
    </row>
    <row r="121" spans="3:4" ht="12.75">
      <c r="C121" s="694"/>
      <c r="D121" s="694"/>
    </row>
    <row r="122" spans="3:4" ht="12.75">
      <c r="C122" s="694"/>
      <c r="D122" s="694"/>
    </row>
    <row r="123" spans="3:4" ht="12.75">
      <c r="C123" s="694"/>
      <c r="D123" s="694"/>
    </row>
    <row r="124" spans="3:4" ht="12.75">
      <c r="C124" s="694"/>
      <c r="D124" s="694"/>
    </row>
    <row r="125" spans="3:4" ht="12.75">
      <c r="C125" s="694"/>
      <c r="D125" s="694"/>
    </row>
    <row r="126" spans="3:4" ht="12.75">
      <c r="C126" s="694"/>
      <c r="D126" s="694"/>
    </row>
    <row r="127" spans="3:4" ht="12.75">
      <c r="C127" s="694"/>
      <c r="D127" s="694"/>
    </row>
    <row r="128" spans="3:4" ht="12.75">
      <c r="C128" s="694"/>
      <c r="D128" s="694"/>
    </row>
    <row r="129" spans="3:4" ht="12.75">
      <c r="C129" s="694"/>
      <c r="D129" s="694"/>
    </row>
    <row r="130" spans="3:4" ht="12.75">
      <c r="C130" s="694"/>
      <c r="D130" s="694"/>
    </row>
    <row r="131" spans="3:4" ht="12.75">
      <c r="C131" s="694"/>
      <c r="D131" s="694"/>
    </row>
    <row r="132" spans="3:4" ht="12.75">
      <c r="C132" s="694"/>
      <c r="D132" s="694"/>
    </row>
    <row r="133" spans="3:4" ht="12.75">
      <c r="C133" s="694"/>
      <c r="D133" s="694"/>
    </row>
    <row r="134" spans="3:4" ht="12.75">
      <c r="C134" s="694"/>
      <c r="D134" s="694"/>
    </row>
    <row r="135" spans="3:4" ht="12.75">
      <c r="C135" s="694"/>
      <c r="D135" s="694"/>
    </row>
    <row r="136" spans="3:4" ht="12.75">
      <c r="C136" s="694"/>
      <c r="D136" s="694"/>
    </row>
    <row r="137" spans="3:4" ht="12.75">
      <c r="C137" s="694"/>
      <c r="D137" s="694"/>
    </row>
    <row r="138" spans="3:4" ht="12.75">
      <c r="C138" s="694"/>
      <c r="D138" s="694"/>
    </row>
    <row r="139" spans="3:4" ht="12.75">
      <c r="C139" s="694"/>
      <c r="D139" s="694"/>
    </row>
    <row r="140" spans="3:4" ht="12.75">
      <c r="C140" s="694"/>
      <c r="D140" s="694"/>
    </row>
    <row r="141" spans="3:4" ht="12.75">
      <c r="C141" s="694"/>
      <c r="D141" s="694"/>
    </row>
    <row r="142" spans="3:4" ht="12.75">
      <c r="C142" s="694"/>
      <c r="D142" s="694"/>
    </row>
    <row r="143" spans="3:4" ht="12.75">
      <c r="C143" s="694"/>
      <c r="D143" s="694"/>
    </row>
    <row r="144" spans="3:4" ht="12.75">
      <c r="C144" s="694"/>
      <c r="D144" s="694"/>
    </row>
    <row r="145" spans="3:4" ht="12.75">
      <c r="C145" s="694"/>
      <c r="D145" s="694"/>
    </row>
    <row r="146" spans="3:4" ht="12.75">
      <c r="C146" s="694"/>
      <c r="D146" s="694"/>
    </row>
    <row r="147" spans="3:4" ht="12.75">
      <c r="C147" s="694"/>
      <c r="D147" s="694"/>
    </row>
    <row r="148" spans="3:4" ht="12.75">
      <c r="C148" s="694"/>
      <c r="D148" s="694"/>
    </row>
    <row r="149" spans="3:4" ht="12.75">
      <c r="C149" s="694"/>
      <c r="D149" s="694"/>
    </row>
    <row r="150" spans="3:4" ht="12.75">
      <c r="C150" s="694"/>
      <c r="D150" s="694"/>
    </row>
    <row r="151" spans="3:4" ht="12.75">
      <c r="C151" s="694"/>
      <c r="D151" s="694"/>
    </row>
    <row r="152" spans="3:4" ht="12.75">
      <c r="C152" s="694"/>
      <c r="D152" s="694"/>
    </row>
    <row r="153" spans="3:4" ht="12.75">
      <c r="C153" s="694"/>
      <c r="D153" s="694"/>
    </row>
    <row r="154" spans="3:4" ht="12.75">
      <c r="C154" s="694"/>
      <c r="D154" s="694"/>
    </row>
    <row r="155" spans="3:4" ht="12.75">
      <c r="C155" s="694"/>
      <c r="D155" s="694"/>
    </row>
    <row r="156" spans="3:4" ht="12.75">
      <c r="C156" s="694"/>
      <c r="D156" s="694"/>
    </row>
    <row r="157" spans="3:4" ht="12.75">
      <c r="C157" s="694"/>
      <c r="D157" s="694"/>
    </row>
    <row r="158" spans="3:4" ht="12.75">
      <c r="C158" s="694"/>
      <c r="D158" s="694"/>
    </row>
    <row r="159" spans="3:4" ht="12.75">
      <c r="C159" s="694"/>
      <c r="D159" s="694"/>
    </row>
    <row r="160" spans="3:4" ht="12.75">
      <c r="C160" s="694"/>
      <c r="D160" s="694"/>
    </row>
    <row r="161" spans="3:4" ht="12.75">
      <c r="C161" s="694"/>
      <c r="D161" s="694"/>
    </row>
    <row r="162" spans="3:4" ht="12.75">
      <c r="C162" s="694"/>
      <c r="D162" s="694"/>
    </row>
    <row r="163" spans="3:4" ht="12.75">
      <c r="C163" s="694"/>
      <c r="D163" s="694"/>
    </row>
    <row r="164" spans="3:4" ht="12.75">
      <c r="C164" s="694"/>
      <c r="D164" s="694"/>
    </row>
    <row r="165" spans="3:4" ht="12.75">
      <c r="C165" s="694"/>
      <c r="D165" s="694"/>
    </row>
    <row r="166" spans="3:4" ht="12.75">
      <c r="C166" s="694"/>
      <c r="D166" s="694"/>
    </row>
    <row r="167" spans="3:4" ht="12.75">
      <c r="C167" s="694"/>
      <c r="D167" s="694"/>
    </row>
    <row r="168" spans="3:4" ht="12.75">
      <c r="C168" s="694"/>
      <c r="D168" s="694"/>
    </row>
    <row r="169" spans="3:4" ht="12.75">
      <c r="C169" s="694"/>
      <c r="D169" s="694"/>
    </row>
    <row r="170" spans="3:4" ht="12.75">
      <c r="C170" s="694"/>
      <c r="D170" s="694"/>
    </row>
    <row r="171" spans="3:4" ht="12.75">
      <c r="C171" s="694"/>
      <c r="D171" s="694"/>
    </row>
    <row r="172" spans="3:4" ht="12.75">
      <c r="C172" s="694"/>
      <c r="D172" s="694"/>
    </row>
    <row r="173" spans="3:4" ht="12.75">
      <c r="C173" s="694"/>
      <c r="D173" s="694"/>
    </row>
    <row r="174" spans="3:4" ht="12.75">
      <c r="C174" s="694"/>
      <c r="D174" s="694"/>
    </row>
    <row r="175" spans="3:4" ht="12.75">
      <c r="C175" s="694"/>
      <c r="D175" s="694"/>
    </row>
    <row r="176" spans="3:4" ht="12.75">
      <c r="C176" s="694"/>
      <c r="D176" s="694"/>
    </row>
    <row r="177" spans="3:4" ht="12.75">
      <c r="C177" s="694"/>
      <c r="D177" s="694"/>
    </row>
    <row r="178" spans="3:4" ht="12.75">
      <c r="C178" s="694"/>
      <c r="D178" s="694"/>
    </row>
    <row r="179" spans="3:4" ht="12.75">
      <c r="C179" s="694"/>
      <c r="D179" s="694"/>
    </row>
    <row r="180" spans="3:4" ht="12.75">
      <c r="C180" s="694"/>
      <c r="D180" s="694"/>
    </row>
    <row r="181" spans="3:4" ht="12.75">
      <c r="C181" s="694"/>
      <c r="D181" s="694"/>
    </row>
    <row r="182" spans="3:4" ht="12.75">
      <c r="C182" s="694"/>
      <c r="D182" s="694"/>
    </row>
    <row r="183" spans="3:4" ht="12.75">
      <c r="C183" s="694"/>
      <c r="D183" s="694"/>
    </row>
    <row r="184" spans="3:4" ht="12.75">
      <c r="C184" s="694"/>
      <c r="D184" s="694"/>
    </row>
    <row r="185" spans="3:4" ht="12.75">
      <c r="C185" s="694"/>
      <c r="D185" s="694"/>
    </row>
    <row r="186" spans="3:4" ht="12.75">
      <c r="C186" s="694"/>
      <c r="D186" s="694"/>
    </row>
    <row r="187" spans="3:4" ht="12.75">
      <c r="C187" s="694"/>
      <c r="D187" s="694"/>
    </row>
    <row r="188" spans="3:4" ht="12.75">
      <c r="C188" s="694"/>
      <c r="D188" s="694"/>
    </row>
    <row r="189" spans="3:4" ht="12.75">
      <c r="C189" s="694"/>
      <c r="D189" s="694"/>
    </row>
    <row r="190" spans="3:4" ht="12.75">
      <c r="C190" s="694"/>
      <c r="D190" s="694"/>
    </row>
    <row r="191" spans="3:4" ht="12.75">
      <c r="C191" s="694"/>
      <c r="D191" s="694"/>
    </row>
    <row r="192" spans="3:4" ht="12.75">
      <c r="C192" s="694"/>
      <c r="D192" s="694"/>
    </row>
    <row r="193" spans="3:4" ht="12.75">
      <c r="C193" s="694"/>
      <c r="D193" s="694"/>
    </row>
    <row r="194" spans="3:4" ht="12.75">
      <c r="C194" s="694"/>
      <c r="D194" s="694"/>
    </row>
    <row r="195" spans="3:4" ht="12.75">
      <c r="C195" s="694"/>
      <c r="D195" s="694"/>
    </row>
    <row r="196" spans="3:4" ht="12.75">
      <c r="C196" s="694"/>
      <c r="D196" s="694"/>
    </row>
    <row r="197" spans="3:4" ht="12.75">
      <c r="C197" s="694"/>
      <c r="D197" s="694"/>
    </row>
    <row r="198" spans="3:4" ht="12.75">
      <c r="C198" s="694"/>
      <c r="D198" s="694"/>
    </row>
    <row r="199" spans="3:4" ht="12.75">
      <c r="C199" s="694"/>
      <c r="D199" s="694"/>
    </row>
    <row r="200" spans="3:4" ht="12.75">
      <c r="C200" s="694"/>
      <c r="D200" s="694"/>
    </row>
    <row r="201" spans="3:4" ht="12.75">
      <c r="C201" s="694"/>
      <c r="D201" s="694"/>
    </row>
    <row r="202" spans="3:4" ht="12.75">
      <c r="C202" s="694"/>
      <c r="D202" s="694"/>
    </row>
    <row r="203" spans="3:4" ht="12.75">
      <c r="C203" s="694"/>
      <c r="D203" s="694"/>
    </row>
    <row r="204" spans="3:4" ht="12.75">
      <c r="C204" s="694"/>
      <c r="D204" s="694"/>
    </row>
    <row r="205" spans="3:4" ht="12.75">
      <c r="C205" s="694"/>
      <c r="D205" s="694"/>
    </row>
    <row r="206" spans="3:4" ht="12.75">
      <c r="C206" s="694"/>
      <c r="D206" s="694"/>
    </row>
    <row r="207" spans="3:4" ht="12.75">
      <c r="C207" s="694"/>
      <c r="D207" s="694"/>
    </row>
    <row r="208" spans="3:4" ht="12.75">
      <c r="C208" s="694"/>
      <c r="D208" s="694"/>
    </row>
    <row r="209" spans="3:4" ht="12.75">
      <c r="C209" s="694"/>
      <c r="D209" s="694"/>
    </row>
    <row r="210" spans="3:4" ht="12.75">
      <c r="C210" s="694"/>
      <c r="D210" s="694"/>
    </row>
    <row r="211" spans="3:4" ht="12.75">
      <c r="C211" s="694"/>
      <c r="D211" s="694"/>
    </row>
    <row r="212" spans="3:4" ht="12.75">
      <c r="C212" s="694"/>
      <c r="D212" s="694"/>
    </row>
    <row r="213" spans="3:4" ht="12.75">
      <c r="C213" s="694"/>
      <c r="D213" s="694"/>
    </row>
    <row r="214" spans="3:4" ht="12.75">
      <c r="C214" s="694"/>
      <c r="D214" s="694"/>
    </row>
    <row r="215" spans="3:4" ht="12.75">
      <c r="C215" s="694"/>
      <c r="D215" s="694"/>
    </row>
    <row r="216" spans="3:4" ht="12.75">
      <c r="C216" s="694"/>
      <c r="D216" s="694"/>
    </row>
    <row r="217" spans="3:4" ht="12.75">
      <c r="C217" s="694"/>
      <c r="D217" s="694"/>
    </row>
    <row r="218" spans="3:4" ht="12.75">
      <c r="C218" s="694"/>
      <c r="D218" s="694"/>
    </row>
    <row r="219" spans="3:4" ht="12.75">
      <c r="C219" s="694"/>
      <c r="D219" s="694"/>
    </row>
    <row r="220" spans="3:4" ht="12.75">
      <c r="C220" s="694"/>
      <c r="D220" s="694"/>
    </row>
    <row r="221" spans="3:4" ht="12.75">
      <c r="C221" s="694"/>
      <c r="D221" s="694"/>
    </row>
    <row r="222" spans="3:4" ht="12.75">
      <c r="C222" s="694"/>
      <c r="D222" s="694"/>
    </row>
    <row r="223" spans="3:4" ht="12.75">
      <c r="C223" s="694"/>
      <c r="D223" s="694"/>
    </row>
    <row r="224" spans="3:4" ht="12.75">
      <c r="C224" s="694"/>
      <c r="D224" s="694"/>
    </row>
    <row r="225" spans="3:4" ht="12.75">
      <c r="C225" s="694"/>
      <c r="D225" s="694"/>
    </row>
    <row r="226" spans="3:4" ht="12.75">
      <c r="C226" s="694"/>
      <c r="D226" s="694"/>
    </row>
    <row r="227" spans="3:4" ht="12.75">
      <c r="C227" s="694"/>
      <c r="D227" s="694"/>
    </row>
    <row r="228" spans="3:4" ht="12.75">
      <c r="C228" s="694"/>
      <c r="D228" s="694"/>
    </row>
    <row r="229" spans="3:4" ht="12.75">
      <c r="C229" s="694"/>
      <c r="D229" s="694"/>
    </row>
    <row r="230" spans="3:4" ht="12.75">
      <c r="C230" s="694"/>
      <c r="D230" s="694"/>
    </row>
    <row r="231" spans="3:4" ht="12.75">
      <c r="C231" s="694"/>
      <c r="D231" s="694"/>
    </row>
    <row r="232" spans="3:4" ht="12.75">
      <c r="C232" s="694"/>
      <c r="D232" s="694"/>
    </row>
    <row r="233" spans="3:4" ht="12.75">
      <c r="C233" s="694"/>
      <c r="D233" s="694"/>
    </row>
    <row r="234" spans="3:4" ht="12.75">
      <c r="C234" s="694"/>
      <c r="D234" s="694"/>
    </row>
    <row r="235" spans="3:4" ht="12.75">
      <c r="C235" s="694"/>
      <c r="D235" s="694"/>
    </row>
    <row r="236" spans="3:4" ht="12.75">
      <c r="C236" s="694"/>
      <c r="D236" s="694"/>
    </row>
    <row r="237" spans="3:4" ht="12.75">
      <c r="C237" s="694"/>
      <c r="D237" s="694"/>
    </row>
    <row r="238" spans="3:4" ht="12.75">
      <c r="C238" s="694"/>
      <c r="D238" s="694"/>
    </row>
    <row r="239" spans="3:4" ht="12.75">
      <c r="C239" s="694"/>
      <c r="D239" s="694"/>
    </row>
    <row r="240" spans="3:4" ht="12.75">
      <c r="C240" s="694"/>
      <c r="D240" s="694"/>
    </row>
    <row r="241" spans="3:4" ht="12.75">
      <c r="C241" s="694"/>
      <c r="D241" s="694"/>
    </row>
    <row r="242" spans="3:4" ht="12.75">
      <c r="C242" s="694"/>
      <c r="D242" s="694"/>
    </row>
    <row r="243" spans="3:4" ht="12.75">
      <c r="C243" s="694"/>
      <c r="D243" s="694"/>
    </row>
    <row r="244" spans="3:4" ht="12.75">
      <c r="C244" s="694"/>
      <c r="D244" s="694"/>
    </row>
    <row r="245" spans="3:4" ht="12.75">
      <c r="C245" s="694"/>
      <c r="D245" s="694"/>
    </row>
    <row r="246" spans="3:4" ht="12.75">
      <c r="C246" s="694"/>
      <c r="D246" s="694"/>
    </row>
    <row r="247" spans="3:4" ht="12.75">
      <c r="C247" s="694"/>
      <c r="D247" s="694"/>
    </row>
    <row r="248" spans="3:4" ht="12.75">
      <c r="C248" s="694"/>
      <c r="D248" s="694"/>
    </row>
    <row r="249" spans="3:4" ht="12.75">
      <c r="C249" s="694"/>
      <c r="D249" s="694"/>
    </row>
    <row r="250" spans="3:4" ht="12.75">
      <c r="C250" s="694"/>
      <c r="D250" s="694"/>
    </row>
  </sheetData>
  <sheetProtection/>
  <mergeCells count="10">
    <mergeCell ref="A45:C45"/>
    <mergeCell ref="E45:F45"/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W32"/>
  <sheetViews>
    <sheetView zoomScalePageLayoutView="0" workbookViewId="0" topLeftCell="A8">
      <selection activeCell="D29" sqref="D29:H29"/>
    </sheetView>
  </sheetViews>
  <sheetFormatPr defaultColWidth="8.00390625" defaultRowHeight="12.75" outlineLevelCol="1"/>
  <cols>
    <col min="1" max="1" width="7.25390625" style="493" customWidth="1"/>
    <col min="2" max="2" width="33.25390625" style="493" customWidth="1"/>
    <col min="3" max="3" width="10.75390625" style="522" customWidth="1"/>
    <col min="4" max="4" width="6.00390625" style="493" bestFit="1" customWidth="1"/>
    <col min="5" max="5" width="5.375" style="493" bestFit="1" customWidth="1"/>
    <col min="6" max="6" width="4.25390625" style="493" bestFit="1" customWidth="1"/>
    <col min="7" max="7" width="5.125" style="493" bestFit="1" customWidth="1"/>
    <col min="8" max="8" width="3.625" style="493" bestFit="1" customWidth="1"/>
    <col min="9" max="13" width="6.625" style="493" hidden="1" customWidth="1" outlineLevel="1"/>
    <col min="14" max="14" width="6.00390625" style="493" bestFit="1" customWidth="1" collapsed="1"/>
    <col min="15" max="15" width="5.375" style="493" bestFit="1" customWidth="1"/>
    <col min="16" max="16" width="4.25390625" style="493" bestFit="1" customWidth="1"/>
    <col min="17" max="17" width="5.125" style="493" bestFit="1" customWidth="1"/>
    <col min="18" max="18" width="3.625" style="493" bestFit="1" customWidth="1"/>
    <col min="19" max="19" width="6.00390625" style="493" hidden="1" customWidth="1" outlineLevel="1"/>
    <col min="20" max="23" width="0" style="493" hidden="1" customWidth="1" outlineLevel="1"/>
    <col min="24" max="24" width="13.25390625" style="493" customWidth="1" collapsed="1"/>
    <col min="25" max="16384" width="8.00390625" style="493" customWidth="1"/>
  </cols>
  <sheetData>
    <row r="1" spans="15:18" ht="12.75">
      <c r="O1" s="1205" t="s">
        <v>827</v>
      </c>
      <c r="P1" s="1205"/>
      <c r="Q1" s="1205"/>
      <c r="R1" s="1205"/>
    </row>
    <row r="2" spans="1:18" ht="33" customHeight="1">
      <c r="A2" s="1206" t="s">
        <v>828</v>
      </c>
      <c r="B2" s="1207"/>
      <c r="C2" s="1207"/>
      <c r="D2" s="1207"/>
      <c r="E2" s="1207"/>
      <c r="F2" s="1207"/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</row>
    <row r="3" spans="1:18" ht="16.5">
      <c r="A3" s="697"/>
      <c r="B3" s="1208" t="str">
        <f>'[2]24'!A3</f>
        <v>ОАО "Электротехнический комплекс"</v>
      </c>
      <c r="C3" s="1208"/>
      <c r="D3" s="1208"/>
      <c r="E3" s="1208"/>
      <c r="F3" s="1208"/>
      <c r="G3" s="1208"/>
      <c r="H3" s="1208"/>
      <c r="I3" s="1208"/>
      <c r="J3" s="1208"/>
      <c r="K3" s="1208"/>
      <c r="L3" s="1208"/>
      <c r="M3" s="1208"/>
      <c r="N3" s="1208"/>
      <c r="O3" s="1208"/>
      <c r="P3" s="1208"/>
      <c r="Q3" s="1208"/>
      <c r="R3" s="697"/>
    </row>
    <row r="4" spans="1:18" ht="16.5">
      <c r="A4" s="697"/>
      <c r="B4" s="1208" t="s">
        <v>1292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08"/>
      <c r="P4" s="1208"/>
      <c r="Q4" s="1208"/>
      <c r="R4" s="697"/>
    </row>
    <row r="5" spans="1:18" ht="17.25" thickBot="1">
      <c r="A5" s="697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7"/>
    </row>
    <row r="6" spans="1:23" s="492" customFormat="1" ht="10.5" customHeight="1">
      <c r="A6" s="1209" t="s">
        <v>587</v>
      </c>
      <c r="B6" s="1212" t="s">
        <v>588</v>
      </c>
      <c r="C6" s="699"/>
      <c r="D6" s="1209" t="s">
        <v>683</v>
      </c>
      <c r="E6" s="1215"/>
      <c r="F6" s="1215"/>
      <c r="G6" s="1215"/>
      <c r="H6" s="1215"/>
      <c r="I6" s="1216" t="s">
        <v>829</v>
      </c>
      <c r="J6" s="1217"/>
      <c r="K6" s="1217"/>
      <c r="L6" s="1217"/>
      <c r="M6" s="1218"/>
      <c r="N6" s="1212" t="s">
        <v>25</v>
      </c>
      <c r="O6" s="1215"/>
      <c r="P6" s="1215"/>
      <c r="Q6" s="1215"/>
      <c r="R6" s="1219"/>
      <c r="S6" s="1200" t="s">
        <v>589</v>
      </c>
      <c r="T6" s="1200"/>
      <c r="U6" s="1200"/>
      <c r="V6" s="1200"/>
      <c r="W6" s="1201"/>
    </row>
    <row r="7" spans="1:23" ht="10.5" customHeight="1">
      <c r="A7" s="1210"/>
      <c r="B7" s="1213"/>
      <c r="C7" s="700" t="s">
        <v>830</v>
      </c>
      <c r="D7" s="1211"/>
      <c r="E7" s="1202"/>
      <c r="F7" s="1202"/>
      <c r="G7" s="1202"/>
      <c r="H7" s="1202"/>
      <c r="I7" s="1204" t="s">
        <v>592</v>
      </c>
      <c r="J7" s="1204"/>
      <c r="K7" s="1204"/>
      <c r="L7" s="1204"/>
      <c r="M7" s="1204"/>
      <c r="N7" s="1214"/>
      <c r="O7" s="1202"/>
      <c r="P7" s="1202"/>
      <c r="Q7" s="1202"/>
      <c r="R7" s="1220"/>
      <c r="S7" s="1202"/>
      <c r="T7" s="1202"/>
      <c r="U7" s="1202"/>
      <c r="V7" s="1202"/>
      <c r="W7" s="1203"/>
    </row>
    <row r="8" spans="1:23" ht="11.25" customHeight="1">
      <c r="A8" s="1211"/>
      <c r="B8" s="1214"/>
      <c r="C8" s="701"/>
      <c r="D8" s="702" t="s">
        <v>589</v>
      </c>
      <c r="E8" s="703" t="s">
        <v>97</v>
      </c>
      <c r="F8" s="703" t="s">
        <v>512</v>
      </c>
      <c r="G8" s="703" t="s">
        <v>513</v>
      </c>
      <c r="H8" s="703" t="s">
        <v>39</v>
      </c>
      <c r="I8" s="704" t="s">
        <v>589</v>
      </c>
      <c r="J8" s="704" t="s">
        <v>97</v>
      </c>
      <c r="K8" s="703" t="s">
        <v>512</v>
      </c>
      <c r="L8" s="703" t="s">
        <v>513</v>
      </c>
      <c r="M8" s="704" t="s">
        <v>39</v>
      </c>
      <c r="N8" s="703" t="s">
        <v>589</v>
      </c>
      <c r="O8" s="703" t="s">
        <v>97</v>
      </c>
      <c r="P8" s="703" t="s">
        <v>512</v>
      </c>
      <c r="Q8" s="703" t="s">
        <v>513</v>
      </c>
      <c r="R8" s="705" t="s">
        <v>39</v>
      </c>
      <c r="S8" s="706" t="s">
        <v>589</v>
      </c>
      <c r="T8" s="703" t="s">
        <v>97</v>
      </c>
      <c r="U8" s="703" t="s">
        <v>512</v>
      </c>
      <c r="V8" s="703" t="s">
        <v>513</v>
      </c>
      <c r="W8" s="703" t="s">
        <v>39</v>
      </c>
    </row>
    <row r="9" spans="1:23" ht="10.5" customHeight="1" thickBot="1">
      <c r="A9" s="707">
        <v>1</v>
      </c>
      <c r="B9" s="708">
        <f>+A9+1</f>
        <v>2</v>
      </c>
      <c r="C9" s="709">
        <v>3</v>
      </c>
      <c r="D9" s="707">
        <f aca="true" t="shared" si="0" ref="D9:M9">+C9+1</f>
        <v>4</v>
      </c>
      <c r="E9" s="710">
        <f t="shared" si="0"/>
        <v>5</v>
      </c>
      <c r="F9" s="710">
        <f t="shared" si="0"/>
        <v>6</v>
      </c>
      <c r="G9" s="710">
        <f t="shared" si="0"/>
        <v>7</v>
      </c>
      <c r="H9" s="710">
        <f t="shared" si="0"/>
        <v>8</v>
      </c>
      <c r="I9" s="710">
        <f t="shared" si="0"/>
        <v>9</v>
      </c>
      <c r="J9" s="710">
        <f t="shared" si="0"/>
        <v>10</v>
      </c>
      <c r="K9" s="710">
        <f t="shared" si="0"/>
        <v>11</v>
      </c>
      <c r="L9" s="710">
        <f t="shared" si="0"/>
        <v>12</v>
      </c>
      <c r="M9" s="710">
        <f t="shared" si="0"/>
        <v>13</v>
      </c>
      <c r="N9" s="710">
        <f>H9+1</f>
        <v>9</v>
      </c>
      <c r="O9" s="710">
        <f aca="true" t="shared" si="1" ref="O9:W9">+N9+1</f>
        <v>10</v>
      </c>
      <c r="P9" s="710">
        <f t="shared" si="1"/>
        <v>11</v>
      </c>
      <c r="Q9" s="710">
        <f t="shared" si="1"/>
        <v>12</v>
      </c>
      <c r="R9" s="711">
        <f t="shared" si="1"/>
        <v>13</v>
      </c>
      <c r="S9" s="712">
        <f t="shared" si="1"/>
        <v>14</v>
      </c>
      <c r="T9" s="713">
        <f t="shared" si="1"/>
        <v>15</v>
      </c>
      <c r="U9" s="713">
        <f t="shared" si="1"/>
        <v>16</v>
      </c>
      <c r="V9" s="713">
        <f t="shared" si="1"/>
        <v>17</v>
      </c>
      <c r="W9" s="713">
        <f t="shared" si="1"/>
        <v>18</v>
      </c>
    </row>
    <row r="10" spans="1:23" ht="23.25" customHeight="1">
      <c r="A10" s="714" t="s">
        <v>26</v>
      </c>
      <c r="B10" s="715" t="s">
        <v>831</v>
      </c>
      <c r="C10" s="716" t="s">
        <v>818</v>
      </c>
      <c r="D10" s="717">
        <f>6!D40</f>
        <v>370.306965</v>
      </c>
      <c r="E10" s="718">
        <f>6!E40</f>
        <v>299.018923</v>
      </c>
      <c r="F10" s="718"/>
      <c r="G10" s="718">
        <f>6!G40</f>
        <v>68.278814</v>
      </c>
      <c r="H10" s="718">
        <f>6!H40</f>
        <v>3.009228</v>
      </c>
      <c r="I10" s="718">
        <f>D10</f>
        <v>370.306965</v>
      </c>
      <c r="J10" s="718"/>
      <c r="K10" s="718"/>
      <c r="L10" s="718">
        <f aca="true" t="shared" si="2" ref="L10:N11">G10</f>
        <v>68.278814</v>
      </c>
      <c r="M10" s="718">
        <f t="shared" si="2"/>
        <v>3.009228</v>
      </c>
      <c r="N10" s="718">
        <f t="shared" si="2"/>
        <v>370.306965</v>
      </c>
      <c r="O10" s="718">
        <f>E10</f>
        <v>299.018923</v>
      </c>
      <c r="P10" s="718"/>
      <c r="Q10" s="718">
        <f>L10</f>
        <v>68.278814</v>
      </c>
      <c r="R10" s="719">
        <f>M10</f>
        <v>3.009228</v>
      </c>
      <c r="S10" s="720"/>
      <c r="T10" s="721"/>
      <c r="U10" s="721"/>
      <c r="V10" s="721"/>
      <c r="W10" s="721"/>
    </row>
    <row r="11" spans="1:23" ht="12.75">
      <c r="A11" s="722" t="s">
        <v>27</v>
      </c>
      <c r="B11" s="723" t="s">
        <v>832</v>
      </c>
      <c r="C11" s="724" t="s">
        <v>833</v>
      </c>
      <c r="D11" s="725">
        <f>5!O27</f>
        <v>52.80499999999999</v>
      </c>
      <c r="E11" s="726">
        <f>5!P27</f>
        <v>45.529999999999994</v>
      </c>
      <c r="F11" s="726"/>
      <c r="G11" s="726">
        <f>5!R27</f>
        <v>11.307</v>
      </c>
      <c r="H11" s="726">
        <f>5!S27</f>
        <v>0.48</v>
      </c>
      <c r="I11" s="726">
        <f>D11</f>
        <v>52.80499999999999</v>
      </c>
      <c r="J11" s="726"/>
      <c r="K11" s="726"/>
      <c r="L11" s="726">
        <f t="shared" si="2"/>
        <v>11.307</v>
      </c>
      <c r="M11" s="726">
        <f t="shared" si="2"/>
        <v>0.48</v>
      </c>
      <c r="N11" s="726">
        <f t="shared" si="2"/>
        <v>52.80499999999999</v>
      </c>
      <c r="O11" s="726">
        <f>E11</f>
        <v>45.529999999999994</v>
      </c>
      <c r="P11" s="726"/>
      <c r="Q11" s="726">
        <f>L11</f>
        <v>11.307</v>
      </c>
      <c r="R11" s="727">
        <f>M11</f>
        <v>0.48</v>
      </c>
      <c r="S11" s="720"/>
      <c r="T11" s="721"/>
      <c r="U11" s="721"/>
      <c r="V11" s="721"/>
      <c r="W11" s="721"/>
    </row>
    <row r="12" spans="1:23" ht="24" customHeight="1">
      <c r="A12" s="722" t="s">
        <v>28</v>
      </c>
      <c r="B12" s="723" t="s">
        <v>834</v>
      </c>
      <c r="C12" s="728" t="s">
        <v>805</v>
      </c>
      <c r="D12" s="1175"/>
      <c r="E12" s="1176"/>
      <c r="F12" s="1176"/>
      <c r="G12" s="1176"/>
      <c r="H12" s="1177"/>
      <c r="I12" s="729"/>
      <c r="J12" s="729"/>
      <c r="K12" s="729"/>
      <c r="L12" s="729"/>
      <c r="M12" s="729"/>
      <c r="N12" s="1178"/>
      <c r="O12" s="1176"/>
      <c r="P12" s="1176"/>
      <c r="Q12" s="1176"/>
      <c r="R12" s="1179"/>
      <c r="S12" s="720"/>
      <c r="T12" s="721"/>
      <c r="U12" s="721"/>
      <c r="V12" s="721"/>
      <c r="W12" s="721"/>
    </row>
    <row r="13" spans="1:23" ht="13.5" customHeight="1">
      <c r="A13" s="722" t="s">
        <v>820</v>
      </c>
      <c r="B13" s="723" t="s">
        <v>835</v>
      </c>
      <c r="C13" s="728" t="s">
        <v>836</v>
      </c>
      <c r="D13" s="730"/>
      <c r="E13" s="729"/>
      <c r="F13" s="729"/>
      <c r="G13" s="729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31"/>
      <c r="S13" s="720"/>
      <c r="T13" s="721"/>
      <c r="U13" s="721"/>
      <c r="V13" s="721"/>
      <c r="W13" s="721"/>
    </row>
    <row r="14" spans="1:23" ht="12.75">
      <c r="A14" s="722" t="s">
        <v>821</v>
      </c>
      <c r="B14" s="723" t="s">
        <v>837</v>
      </c>
      <c r="C14" s="728" t="s">
        <v>805</v>
      </c>
      <c r="D14" s="730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31"/>
      <c r="S14" s="720"/>
      <c r="T14" s="721"/>
      <c r="U14" s="721"/>
      <c r="V14" s="721"/>
      <c r="W14" s="721"/>
    </row>
    <row r="15" spans="1:23" ht="12.75">
      <c r="A15" s="722" t="s">
        <v>202</v>
      </c>
      <c r="B15" s="723" t="s">
        <v>838</v>
      </c>
      <c r="C15" s="728" t="s">
        <v>805</v>
      </c>
      <c r="D15" s="1196">
        <f>D16</f>
        <v>474.1420832023205</v>
      </c>
      <c r="E15" s="1176"/>
      <c r="F15" s="1176"/>
      <c r="G15" s="1176"/>
      <c r="H15" s="1177"/>
      <c r="I15" s="732"/>
      <c r="J15" s="732"/>
      <c r="K15" s="732"/>
      <c r="L15" s="732"/>
      <c r="M15" s="732"/>
      <c r="N15" s="1197">
        <f>N16</f>
        <v>474.1420832023205</v>
      </c>
      <c r="O15" s="1176"/>
      <c r="P15" s="1176"/>
      <c r="Q15" s="1176"/>
      <c r="R15" s="1179"/>
      <c r="S15" s="720"/>
      <c r="T15" s="721"/>
      <c r="U15" s="721"/>
      <c r="V15" s="721"/>
      <c r="W15" s="721"/>
    </row>
    <row r="16" spans="1:23" ht="25.5">
      <c r="A16" s="722" t="s">
        <v>674</v>
      </c>
      <c r="B16" s="723" t="s">
        <v>839</v>
      </c>
      <c r="C16" s="728" t="s">
        <v>805</v>
      </c>
      <c r="D16" s="1196">
        <f>D26/D10</f>
        <v>474.1420832023205</v>
      </c>
      <c r="E16" s="1198"/>
      <c r="F16" s="1198"/>
      <c r="G16" s="1198"/>
      <c r="H16" s="1199"/>
      <c r="I16" s="729"/>
      <c r="J16" s="729"/>
      <c r="K16" s="729"/>
      <c r="L16" s="729"/>
      <c r="M16" s="729"/>
      <c r="N16" s="1197">
        <f>D16</f>
        <v>474.1420832023205</v>
      </c>
      <c r="O16" s="1176"/>
      <c r="P16" s="1176"/>
      <c r="Q16" s="1176"/>
      <c r="R16" s="1179"/>
      <c r="S16" s="720"/>
      <c r="T16" s="721"/>
      <c r="U16" s="721"/>
      <c r="V16" s="721"/>
      <c r="W16" s="721"/>
    </row>
    <row r="17" spans="1:23" ht="12.75">
      <c r="A17" s="722" t="s">
        <v>840</v>
      </c>
      <c r="B17" s="723" t="s">
        <v>841</v>
      </c>
      <c r="C17" s="728" t="s">
        <v>836</v>
      </c>
      <c r="D17" s="1175">
        <f>'24'!J28</f>
        <v>277085.6860294619</v>
      </c>
      <c r="E17" s="1176"/>
      <c r="F17" s="1176"/>
      <c r="G17" s="1176"/>
      <c r="H17" s="1177"/>
      <c r="I17" s="1178">
        <f>D17</f>
        <v>277085.6860294619</v>
      </c>
      <c r="J17" s="1176"/>
      <c r="K17" s="1176"/>
      <c r="L17" s="1176"/>
      <c r="M17" s="1177"/>
      <c r="N17" s="1178">
        <f>I17</f>
        <v>277085.6860294619</v>
      </c>
      <c r="O17" s="1176"/>
      <c r="P17" s="1176"/>
      <c r="Q17" s="1176"/>
      <c r="R17" s="1179"/>
      <c r="S17" s="720"/>
      <c r="T17" s="721"/>
      <c r="U17" s="721"/>
      <c r="V17" s="721"/>
      <c r="W17" s="721"/>
    </row>
    <row r="18" spans="1:23" ht="12.75">
      <c r="A18" s="722" t="s">
        <v>842</v>
      </c>
      <c r="B18" s="723" t="s">
        <v>843</v>
      </c>
      <c r="C18" s="728" t="s">
        <v>805</v>
      </c>
      <c r="D18" s="1175">
        <f>'25'!F37</f>
        <v>38.19094448665567</v>
      </c>
      <c r="E18" s="1176"/>
      <c r="F18" s="1176"/>
      <c r="G18" s="1176"/>
      <c r="H18" s="1177"/>
      <c r="I18" s="1178">
        <f>D18</f>
        <v>38.19094448665567</v>
      </c>
      <c r="J18" s="1176"/>
      <c r="K18" s="1176"/>
      <c r="L18" s="1176"/>
      <c r="M18" s="1177"/>
      <c r="N18" s="1178">
        <f>I18</f>
        <v>38.19094448665567</v>
      </c>
      <c r="O18" s="1176"/>
      <c r="P18" s="1176"/>
      <c r="Q18" s="1176"/>
      <c r="R18" s="1179"/>
      <c r="S18" s="720"/>
      <c r="T18" s="721"/>
      <c r="U18" s="721"/>
      <c r="V18" s="721"/>
      <c r="W18" s="721"/>
    </row>
    <row r="19" spans="1:23" ht="12.75">
      <c r="A19" s="722" t="s">
        <v>676</v>
      </c>
      <c r="B19" s="723" t="s">
        <v>844</v>
      </c>
      <c r="C19" s="728" t="s">
        <v>836</v>
      </c>
      <c r="D19" s="730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31"/>
      <c r="S19" s="720"/>
      <c r="T19" s="721"/>
      <c r="U19" s="721"/>
      <c r="V19" s="721"/>
      <c r="W19" s="721"/>
    </row>
    <row r="20" spans="1:23" ht="25.5">
      <c r="A20" s="722" t="s">
        <v>204</v>
      </c>
      <c r="B20" s="723" t="s">
        <v>845</v>
      </c>
      <c r="C20" s="728" t="s">
        <v>805</v>
      </c>
      <c r="D20" s="1196">
        <f>D15</f>
        <v>474.1420832023205</v>
      </c>
      <c r="E20" s="1176"/>
      <c r="F20" s="1176"/>
      <c r="G20" s="1176"/>
      <c r="H20" s="1177"/>
      <c r="I20" s="732"/>
      <c r="J20" s="732"/>
      <c r="K20" s="732"/>
      <c r="L20" s="732"/>
      <c r="M20" s="732"/>
      <c r="N20" s="1197">
        <f>N15</f>
        <v>474.1420832023205</v>
      </c>
      <c r="O20" s="1176"/>
      <c r="P20" s="1176"/>
      <c r="Q20" s="1176"/>
      <c r="R20" s="1179"/>
      <c r="S20" s="720"/>
      <c r="T20" s="721"/>
      <c r="U20" s="721"/>
      <c r="V20" s="721"/>
      <c r="W20" s="721"/>
    </row>
    <row r="21" spans="1:23" ht="25.5">
      <c r="A21" s="722" t="s">
        <v>605</v>
      </c>
      <c r="B21" s="723" t="s">
        <v>846</v>
      </c>
      <c r="C21" s="728" t="s">
        <v>847</v>
      </c>
      <c r="D21" s="1175">
        <f>D17</f>
        <v>277085.6860294619</v>
      </c>
      <c r="E21" s="1176"/>
      <c r="F21" s="1176"/>
      <c r="G21" s="1176"/>
      <c r="H21" s="1177"/>
      <c r="I21" s="732"/>
      <c r="J21" s="732"/>
      <c r="K21" s="732"/>
      <c r="L21" s="732"/>
      <c r="M21" s="732"/>
      <c r="N21" s="1178">
        <f>N17</f>
        <v>277085.6860294619</v>
      </c>
      <c r="O21" s="1176"/>
      <c r="P21" s="1176"/>
      <c r="Q21" s="1176"/>
      <c r="R21" s="1179"/>
      <c r="S21" s="720"/>
      <c r="T21" s="721"/>
      <c r="U21" s="721"/>
      <c r="V21" s="721"/>
      <c r="W21" s="721"/>
    </row>
    <row r="22" spans="1:23" ht="12.75">
      <c r="A22" s="722" t="s">
        <v>607</v>
      </c>
      <c r="B22" s="723" t="s">
        <v>848</v>
      </c>
      <c r="C22" s="728" t="s">
        <v>805</v>
      </c>
      <c r="D22" s="1175">
        <f>D18</f>
        <v>38.19094448665567</v>
      </c>
      <c r="E22" s="1176"/>
      <c r="F22" s="1176"/>
      <c r="G22" s="1176"/>
      <c r="H22" s="1177"/>
      <c r="I22" s="732"/>
      <c r="J22" s="732"/>
      <c r="K22" s="732"/>
      <c r="L22" s="732"/>
      <c r="M22" s="732"/>
      <c r="N22" s="1178">
        <f>N18</f>
        <v>38.19094448665567</v>
      </c>
      <c r="O22" s="1176"/>
      <c r="P22" s="1176"/>
      <c r="Q22" s="1176"/>
      <c r="R22" s="1179"/>
      <c r="S22" s="720"/>
      <c r="T22" s="721"/>
      <c r="U22" s="721"/>
      <c r="V22" s="721"/>
      <c r="W22" s="721"/>
    </row>
    <row r="23" spans="1:23" ht="12.75">
      <c r="A23" s="722" t="s">
        <v>206</v>
      </c>
      <c r="B23" s="723" t="s">
        <v>849</v>
      </c>
      <c r="C23" s="728" t="s">
        <v>196</v>
      </c>
      <c r="D23" s="1175">
        <f>D25+D26</f>
        <v>189720.48855276575</v>
      </c>
      <c r="E23" s="1176"/>
      <c r="F23" s="1176"/>
      <c r="G23" s="1176"/>
      <c r="H23" s="1177"/>
      <c r="I23" s="732"/>
      <c r="J23" s="732"/>
      <c r="K23" s="732"/>
      <c r="L23" s="732"/>
      <c r="M23" s="732"/>
      <c r="N23" s="1178">
        <f>N25+N26</f>
        <v>189720.48855276575</v>
      </c>
      <c r="O23" s="1176"/>
      <c r="P23" s="1176"/>
      <c r="Q23" s="1176"/>
      <c r="R23" s="1179"/>
      <c r="S23" s="720"/>
      <c r="T23" s="721"/>
      <c r="U23" s="721"/>
      <c r="V23" s="721"/>
      <c r="W23" s="721"/>
    </row>
    <row r="24" spans="1:23" ht="12.75">
      <c r="A24" s="722"/>
      <c r="B24" s="723" t="s">
        <v>829</v>
      </c>
      <c r="C24" s="728"/>
      <c r="D24" s="1175"/>
      <c r="E24" s="1176"/>
      <c r="F24" s="1176"/>
      <c r="G24" s="1176"/>
      <c r="H24" s="1177"/>
      <c r="I24" s="1178"/>
      <c r="J24" s="1176"/>
      <c r="K24" s="1176"/>
      <c r="L24" s="1176"/>
      <c r="M24" s="1177"/>
      <c r="N24" s="1178"/>
      <c r="O24" s="1176"/>
      <c r="P24" s="1176"/>
      <c r="Q24" s="1176"/>
      <c r="R24" s="1179"/>
      <c r="S24" s="720"/>
      <c r="T24" s="721"/>
      <c r="U24" s="721"/>
      <c r="V24" s="721"/>
      <c r="W24" s="721"/>
    </row>
    <row r="25" spans="1:23" ht="25.5">
      <c r="A25" s="722" t="s">
        <v>806</v>
      </c>
      <c r="B25" s="723" t="s">
        <v>850</v>
      </c>
      <c r="C25" s="728" t="s">
        <v>196</v>
      </c>
      <c r="D25" s="1175">
        <f>D29</f>
        <v>14142.372743336942</v>
      </c>
      <c r="E25" s="1176"/>
      <c r="F25" s="1176"/>
      <c r="G25" s="1176"/>
      <c r="H25" s="1177"/>
      <c r="I25" s="1178">
        <f>D25</f>
        <v>14142.372743336942</v>
      </c>
      <c r="J25" s="1176"/>
      <c r="K25" s="1176"/>
      <c r="L25" s="1176"/>
      <c r="M25" s="1177"/>
      <c r="N25" s="1178">
        <f>N29</f>
        <v>14142.372743336942</v>
      </c>
      <c r="O25" s="1176"/>
      <c r="P25" s="1176"/>
      <c r="Q25" s="1176"/>
      <c r="R25" s="1179"/>
      <c r="S25" s="720"/>
      <c r="T25" s="721"/>
      <c r="U25" s="721"/>
      <c r="V25" s="721"/>
      <c r="W25" s="721"/>
    </row>
    <row r="26" spans="1:23" ht="12.75">
      <c r="A26" s="722" t="s">
        <v>807</v>
      </c>
      <c r="B26" s="723" t="s">
        <v>851</v>
      </c>
      <c r="C26" s="728" t="s">
        <v>196</v>
      </c>
      <c r="D26" s="1186">
        <f>'24'!J22</f>
        <v>175578.1158094288</v>
      </c>
      <c r="E26" s="1187"/>
      <c r="F26" s="1187"/>
      <c r="G26" s="1187"/>
      <c r="H26" s="1188"/>
      <c r="I26" s="1178">
        <f>D26</f>
        <v>175578.1158094288</v>
      </c>
      <c r="J26" s="1176"/>
      <c r="K26" s="1176"/>
      <c r="L26" s="1176"/>
      <c r="M26" s="1177"/>
      <c r="N26" s="1178">
        <f>D26</f>
        <v>175578.1158094288</v>
      </c>
      <c r="O26" s="1176"/>
      <c r="P26" s="1176"/>
      <c r="Q26" s="1176"/>
      <c r="R26" s="1179"/>
      <c r="S26" s="720"/>
      <c r="T26" s="721"/>
      <c r="U26" s="721"/>
      <c r="V26" s="721"/>
      <c r="W26" s="721"/>
    </row>
    <row r="27" spans="1:23" ht="12.75" customHeight="1">
      <c r="A27" s="1189" t="s">
        <v>852</v>
      </c>
      <c r="B27" s="1190"/>
      <c r="C27" s="728"/>
      <c r="D27" s="1191"/>
      <c r="E27" s="1192"/>
      <c r="F27" s="1192"/>
      <c r="G27" s="1192"/>
      <c r="H27" s="1193"/>
      <c r="I27" s="729"/>
      <c r="J27" s="729"/>
      <c r="K27" s="729"/>
      <c r="L27" s="729"/>
      <c r="M27" s="729"/>
      <c r="N27" s="1194"/>
      <c r="O27" s="1192"/>
      <c r="P27" s="1192"/>
      <c r="Q27" s="1192"/>
      <c r="R27" s="1195"/>
      <c r="S27" s="720"/>
      <c r="T27" s="721"/>
      <c r="U27" s="721"/>
      <c r="V27" s="721"/>
      <c r="W27" s="721"/>
    </row>
    <row r="28" spans="1:23" ht="12.75">
      <c r="A28" s="722" t="s">
        <v>806</v>
      </c>
      <c r="B28" s="723" t="s">
        <v>853</v>
      </c>
      <c r="C28" s="728" t="s">
        <v>196</v>
      </c>
      <c r="D28" s="1175">
        <f>D21*D11*12/1000</f>
        <v>175578.1158094288</v>
      </c>
      <c r="E28" s="1176"/>
      <c r="F28" s="1176"/>
      <c r="G28" s="1176"/>
      <c r="H28" s="1177"/>
      <c r="I28" s="729"/>
      <c r="J28" s="729"/>
      <c r="K28" s="729"/>
      <c r="L28" s="729"/>
      <c r="M28" s="729"/>
      <c r="N28" s="1178">
        <f>D28</f>
        <v>175578.1158094288</v>
      </c>
      <c r="O28" s="1176"/>
      <c r="P28" s="1176"/>
      <c r="Q28" s="1176"/>
      <c r="R28" s="1179"/>
      <c r="S28" s="720"/>
      <c r="T28" s="721"/>
      <c r="U28" s="721"/>
      <c r="V28" s="721"/>
      <c r="W28" s="721"/>
    </row>
    <row r="29" spans="1:23" ht="14.25" customHeight="1" thickBot="1">
      <c r="A29" s="733" t="s">
        <v>807</v>
      </c>
      <c r="B29" s="734" t="s">
        <v>854</v>
      </c>
      <c r="C29" s="735" t="s">
        <v>196</v>
      </c>
      <c r="D29" s="1180">
        <f>D22*D10</f>
        <v>14142.372743336942</v>
      </c>
      <c r="E29" s="1181"/>
      <c r="F29" s="1181"/>
      <c r="G29" s="1181"/>
      <c r="H29" s="1182"/>
      <c r="I29" s="736"/>
      <c r="J29" s="736"/>
      <c r="K29" s="736"/>
      <c r="L29" s="736"/>
      <c r="M29" s="736"/>
      <c r="N29" s="1183">
        <f>D29</f>
        <v>14142.372743336942</v>
      </c>
      <c r="O29" s="1181"/>
      <c r="P29" s="1181"/>
      <c r="Q29" s="1181"/>
      <c r="R29" s="1184"/>
      <c r="S29" s="737"/>
      <c r="T29" s="565"/>
      <c r="U29" s="565"/>
      <c r="V29" s="565"/>
      <c r="W29" s="565"/>
    </row>
    <row r="30" spans="1:18" ht="18.75" customHeight="1">
      <c r="A30" s="738"/>
      <c r="B30" s="738"/>
      <c r="C30" s="739"/>
      <c r="D30" s="738"/>
      <c r="E30" s="738"/>
      <c r="F30" s="738"/>
      <c r="G30" s="738"/>
      <c r="H30" s="738"/>
      <c r="I30" s="740"/>
      <c r="J30" s="740"/>
      <c r="K30" s="740"/>
      <c r="L30" s="740"/>
      <c r="M30" s="740"/>
      <c r="N30" s="740"/>
      <c r="O30" s="740"/>
      <c r="P30" s="740"/>
      <c r="Q30" s="740"/>
      <c r="R30" s="740"/>
    </row>
    <row r="32" spans="1:18" s="523" customFormat="1" ht="18.75">
      <c r="A32" s="1135" t="str">
        <f>'[2]25'!A45:C45</f>
        <v>Начальник ПЭО</v>
      </c>
      <c r="B32" s="1135"/>
      <c r="C32" s="1135"/>
      <c r="D32" s="1135"/>
      <c r="E32" s="1135"/>
      <c r="F32" s="1135"/>
      <c r="G32" s="1135"/>
      <c r="H32" s="1135"/>
      <c r="I32" s="1135"/>
      <c r="J32" s="1185" t="str">
        <f>'[2]25'!E45</f>
        <v>М.С. Мироненко</v>
      </c>
      <c r="K32" s="1125"/>
      <c r="L32" s="1125"/>
      <c r="M32" s="1125"/>
      <c r="N32" s="1125"/>
      <c r="O32" s="1125"/>
      <c r="P32" s="1125"/>
      <c r="Q32" s="1125"/>
      <c r="R32" s="1125"/>
    </row>
  </sheetData>
  <sheetProtection/>
  <mergeCells count="49">
    <mergeCell ref="O1:R1"/>
    <mergeCell ref="A2:R2"/>
    <mergeCell ref="B3:Q3"/>
    <mergeCell ref="B4:Q4"/>
    <mergeCell ref="A6:A8"/>
    <mergeCell ref="B6:B8"/>
    <mergeCell ref="D6:H7"/>
    <mergeCell ref="I6:M6"/>
    <mergeCell ref="N6:R7"/>
    <mergeCell ref="S6:W7"/>
    <mergeCell ref="I7:M7"/>
    <mergeCell ref="D12:H12"/>
    <mergeCell ref="N12:R12"/>
    <mergeCell ref="D15:H15"/>
    <mergeCell ref="N15:R15"/>
    <mergeCell ref="D16:H16"/>
    <mergeCell ref="N16:R16"/>
    <mergeCell ref="D17:H17"/>
    <mergeCell ref="I17:M17"/>
    <mergeCell ref="N17:R17"/>
    <mergeCell ref="D18:H18"/>
    <mergeCell ref="I18:M18"/>
    <mergeCell ref="N18:R18"/>
    <mergeCell ref="D20:H20"/>
    <mergeCell ref="N20:R20"/>
    <mergeCell ref="D21:H21"/>
    <mergeCell ref="N21:R21"/>
    <mergeCell ref="D22:H22"/>
    <mergeCell ref="N22:R22"/>
    <mergeCell ref="D23:H23"/>
    <mergeCell ref="N23:R23"/>
    <mergeCell ref="D24:H24"/>
    <mergeCell ref="I24:M24"/>
    <mergeCell ref="N24:R24"/>
    <mergeCell ref="D25:H25"/>
    <mergeCell ref="I25:M25"/>
    <mergeCell ref="N25:R25"/>
    <mergeCell ref="D26:H26"/>
    <mergeCell ref="I26:M26"/>
    <mergeCell ref="N26:R26"/>
    <mergeCell ref="A27:B27"/>
    <mergeCell ref="D27:H27"/>
    <mergeCell ref="N27:R27"/>
    <mergeCell ref="D28:H28"/>
    <mergeCell ref="N28:R28"/>
    <mergeCell ref="D29:H29"/>
    <mergeCell ref="N29:R29"/>
    <mergeCell ref="A32:I32"/>
    <mergeCell ref="J32:R3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63"/>
  <sheetViews>
    <sheetView tabSelected="1" zoomScalePageLayoutView="0" workbookViewId="0" topLeftCell="B47">
      <selection activeCell="E47" sqref="E47"/>
    </sheetView>
  </sheetViews>
  <sheetFormatPr defaultColWidth="19.125" defaultRowHeight="12.75"/>
  <cols>
    <col min="1" max="1" width="7.25390625" style="877" customWidth="1"/>
    <col min="2" max="2" width="65.75390625" style="877" customWidth="1"/>
    <col min="3" max="3" width="16.25390625" style="877" customWidth="1"/>
    <col min="4" max="4" width="17.625" style="877" customWidth="1"/>
    <col min="5" max="5" width="15.125" style="877" bestFit="1" customWidth="1"/>
    <col min="6" max="6" width="15.125" style="878" bestFit="1" customWidth="1"/>
    <col min="7" max="7" width="15.125" style="877" bestFit="1" customWidth="1"/>
    <col min="8" max="8" width="16.375" style="879" bestFit="1" customWidth="1"/>
    <col min="9" max="9" width="19.25390625" style="877" hidden="1" customWidth="1"/>
    <col min="10" max="10" width="21.375" style="877" customWidth="1"/>
    <col min="11" max="247" width="9.125" style="877" customWidth="1"/>
    <col min="248" max="248" width="7.25390625" style="877" customWidth="1"/>
    <col min="249" max="249" width="65.75390625" style="877" customWidth="1"/>
    <col min="250" max="250" width="18.125" style="877" customWidth="1"/>
    <col min="251" max="251" width="23.25390625" style="877" customWidth="1"/>
    <col min="252" max="16384" width="19.125" style="877" customWidth="1"/>
  </cols>
  <sheetData>
    <row r="1" spans="1:9" s="745" customFormat="1" ht="16.5" customHeight="1" hidden="1">
      <c r="A1" s="741"/>
      <c r="B1" s="742"/>
      <c r="C1" s="743"/>
      <c r="D1" s="743"/>
      <c r="G1" s="746"/>
      <c r="H1" s="1235"/>
      <c r="I1" s="1236"/>
    </row>
    <row r="2" spans="1:9" s="745" customFormat="1" ht="16.5" customHeight="1" hidden="1">
      <c r="A2" s="741"/>
      <c r="B2" s="742"/>
      <c r="C2" s="743"/>
      <c r="D2" s="743"/>
      <c r="G2" s="746"/>
      <c r="H2" s="1235"/>
      <c r="I2" s="1236"/>
    </row>
    <row r="3" spans="1:9" s="745" customFormat="1" ht="15" customHeight="1" hidden="1">
      <c r="A3" s="741"/>
      <c r="B3" s="742"/>
      <c r="C3" s="743"/>
      <c r="D3" s="743"/>
      <c r="G3" s="746"/>
      <c r="H3" s="1235"/>
      <c r="I3" s="1236"/>
    </row>
    <row r="4" spans="1:8" s="745" customFormat="1" ht="7.5" customHeight="1" hidden="1">
      <c r="A4" s="742"/>
      <c r="B4" s="742"/>
      <c r="C4" s="742"/>
      <c r="D4" s="742"/>
      <c r="E4" s="744"/>
      <c r="H4" s="747"/>
    </row>
    <row r="5" spans="1:9" s="749" customFormat="1" ht="39" customHeight="1" thickBot="1">
      <c r="A5" s="1237" t="s">
        <v>1250</v>
      </c>
      <c r="B5" s="1237"/>
      <c r="C5" s="1237"/>
      <c r="D5" s="1237"/>
      <c r="E5" s="1237"/>
      <c r="F5" s="1237"/>
      <c r="G5" s="1237"/>
      <c r="H5" s="1237"/>
      <c r="I5" s="748"/>
    </row>
    <row r="6" spans="1:9" s="752" customFormat="1" ht="67.5" customHeight="1">
      <c r="A6" s="750" t="s">
        <v>859</v>
      </c>
      <c r="B6" s="751" t="s">
        <v>198</v>
      </c>
      <c r="C6" s="751" t="s">
        <v>855</v>
      </c>
      <c r="D6" s="751" t="s">
        <v>1249</v>
      </c>
      <c r="E6" s="887">
        <v>2021</v>
      </c>
      <c r="F6" s="753">
        <v>2022</v>
      </c>
      <c r="G6" s="751">
        <v>2023</v>
      </c>
      <c r="H6" s="754">
        <v>2024</v>
      </c>
      <c r="I6" s="755"/>
    </row>
    <row r="7" spans="1:8" s="752" customFormat="1" ht="18" customHeight="1">
      <c r="A7" s="1238" t="s">
        <v>860</v>
      </c>
      <c r="B7" s="1239"/>
      <c r="C7" s="1239"/>
      <c r="D7" s="1239"/>
      <c r="E7" s="1239"/>
      <c r="F7" s="1239"/>
      <c r="G7" s="1239"/>
      <c r="H7" s="1239"/>
    </row>
    <row r="8" spans="1:8" s="752" customFormat="1" ht="18.75">
      <c r="A8" s="756" t="s">
        <v>26</v>
      </c>
      <c r="B8" s="757" t="s">
        <v>861</v>
      </c>
      <c r="C8" s="758"/>
      <c r="D8" s="758">
        <v>0.01</v>
      </c>
      <c r="E8" s="758">
        <v>0.01</v>
      </c>
      <c r="F8" s="758">
        <v>0.01</v>
      </c>
      <c r="G8" s="758">
        <v>0.01</v>
      </c>
      <c r="H8" s="759">
        <f>G8</f>
        <v>0.01</v>
      </c>
    </row>
    <row r="9" spans="1:8" s="752" customFormat="1" ht="37.5">
      <c r="A9" s="756" t="s">
        <v>27</v>
      </c>
      <c r="B9" s="757" t="s">
        <v>862</v>
      </c>
      <c r="C9" s="758"/>
      <c r="D9" s="758">
        <v>0.75</v>
      </c>
      <c r="E9" s="758">
        <v>0.75</v>
      </c>
      <c r="F9" s="758">
        <v>0.75</v>
      </c>
      <c r="G9" s="758">
        <f>E9</f>
        <v>0.75</v>
      </c>
      <c r="H9" s="759">
        <f>G9</f>
        <v>0.75</v>
      </c>
    </row>
    <row r="10" spans="1:8" s="752" customFormat="1" ht="30.75" customHeight="1">
      <c r="A10" s="1229" t="s">
        <v>863</v>
      </c>
      <c r="B10" s="1230"/>
      <c r="C10" s="1230"/>
      <c r="D10" s="1230"/>
      <c r="E10" s="1230"/>
      <c r="F10" s="1230"/>
      <c r="G10" s="1230"/>
      <c r="H10" s="1230"/>
    </row>
    <row r="11" spans="1:8" s="752" customFormat="1" ht="18.75">
      <c r="A11" s="756" t="s">
        <v>26</v>
      </c>
      <c r="B11" s="757" t="s">
        <v>864</v>
      </c>
      <c r="C11" s="758"/>
      <c r="D11" s="758">
        <v>1</v>
      </c>
      <c r="E11" s="758">
        <v>1.037</v>
      </c>
      <c r="F11" s="758">
        <v>1.04</v>
      </c>
      <c r="G11" s="758">
        <v>1.04</v>
      </c>
      <c r="H11" s="759">
        <v>1.04</v>
      </c>
    </row>
    <row r="12" spans="1:8" s="752" customFormat="1" ht="18.75">
      <c r="A12" s="756" t="s">
        <v>27</v>
      </c>
      <c r="B12" s="757" t="s">
        <v>865</v>
      </c>
      <c r="C12" s="758" t="s">
        <v>866</v>
      </c>
      <c r="D12" s="760">
        <v>2627.53</v>
      </c>
      <c r="E12" s="1014">
        <f>'[5]2.2'!$M$53</f>
        <v>2888.7547</v>
      </c>
      <c r="F12" s="1014">
        <f>E12</f>
        <v>2888.7547</v>
      </c>
      <c r="G12" s="1014">
        <f>F12</f>
        <v>2888.7547</v>
      </c>
      <c r="H12" s="1014">
        <f>G12</f>
        <v>2888.7547</v>
      </c>
    </row>
    <row r="13" spans="1:8" s="752" customFormat="1" ht="18.75">
      <c r="A13" s="756" t="s">
        <v>28</v>
      </c>
      <c r="B13" s="757" t="s">
        <v>857</v>
      </c>
      <c r="C13" s="758"/>
      <c r="D13" s="761">
        <v>0</v>
      </c>
      <c r="E13" s="761">
        <f>(E12-D12)/D12</f>
        <v>0.09941835107496384</v>
      </c>
      <c r="F13" s="762">
        <f>(F12-E12)/E12</f>
        <v>0</v>
      </c>
      <c r="G13" s="762">
        <f>(G12-F12)/F12</f>
        <v>0</v>
      </c>
      <c r="H13" s="763">
        <f>(H12-G12)/G12</f>
        <v>0</v>
      </c>
    </row>
    <row r="14" spans="1:8" s="752" customFormat="1" ht="19.5" thickBot="1">
      <c r="A14" s="764" t="s">
        <v>202</v>
      </c>
      <c r="B14" s="765" t="s">
        <v>867</v>
      </c>
      <c r="C14" s="765"/>
      <c r="D14" s="766">
        <v>1</v>
      </c>
      <c r="E14" s="766">
        <f>ROUND((E11*(1+E9*E13)*(1-E8)),3)</f>
        <v>1.103</v>
      </c>
      <c r="F14" s="766">
        <f>ROUND((F11*(1+F9*F13)*(1-F8)),3)</f>
        <v>1.03</v>
      </c>
      <c r="G14" s="766">
        <f>ROUND((G11*(1+G9*G13)*(1-G8)),3)</f>
        <v>1.03</v>
      </c>
      <c r="H14" s="767">
        <f>ROUND((H11*(1+H9*H13)*(1-H8)),3)</f>
        <v>1.03</v>
      </c>
    </row>
    <row r="15" s="752" customFormat="1" ht="18">
      <c r="H15" s="768"/>
    </row>
    <row r="16" spans="1:9" s="752" customFormat="1" ht="19.5" thickBot="1">
      <c r="A16" s="1231" t="s">
        <v>868</v>
      </c>
      <c r="B16" s="1232"/>
      <c r="C16" s="1232"/>
      <c r="D16" s="1232"/>
      <c r="E16" s="1232"/>
      <c r="F16" s="1232"/>
      <c r="G16" s="1232"/>
      <c r="H16" s="1232"/>
      <c r="I16" s="1232"/>
    </row>
    <row r="17" spans="1:9" s="752" customFormat="1" ht="56.25">
      <c r="A17" s="1221" t="s">
        <v>869</v>
      </c>
      <c r="B17" s="1223" t="s">
        <v>198</v>
      </c>
      <c r="C17" s="1233" t="s">
        <v>855</v>
      </c>
      <c r="D17" s="751" t="s">
        <v>1249</v>
      </c>
      <c r="E17" s="887">
        <v>2021</v>
      </c>
      <c r="F17" s="753">
        <v>2022</v>
      </c>
      <c r="G17" s="751">
        <v>2023</v>
      </c>
      <c r="H17" s="754">
        <v>2024</v>
      </c>
      <c r="I17" s="769" t="s">
        <v>870</v>
      </c>
    </row>
    <row r="18" spans="1:9" s="752" customFormat="1" ht="56.25">
      <c r="A18" s="1222"/>
      <c r="B18" s="1224"/>
      <c r="C18" s="1234"/>
      <c r="D18" s="758" t="s">
        <v>871</v>
      </c>
      <c r="E18" s="758" t="s">
        <v>871</v>
      </c>
      <c r="F18" s="758" t="s">
        <v>871</v>
      </c>
      <c r="G18" s="758" t="s">
        <v>871</v>
      </c>
      <c r="H18" s="759" t="s">
        <v>871</v>
      </c>
      <c r="I18" s="770" t="s">
        <v>25</v>
      </c>
    </row>
    <row r="19" spans="1:9" s="752" customFormat="1" ht="18.75">
      <c r="A19" s="771" t="s">
        <v>792</v>
      </c>
      <c r="B19" s="772" t="s">
        <v>872</v>
      </c>
      <c r="C19" s="773" t="s">
        <v>196</v>
      </c>
      <c r="D19" s="778">
        <f>'[6]НВВ 2020-2024'!$F$23</f>
        <v>136.59113</v>
      </c>
      <c r="E19" s="776">
        <f>D19*E$14</f>
        <v>150.66001638999998</v>
      </c>
      <c r="F19" s="776">
        <f>E19*F$14</f>
        <v>155.1798168817</v>
      </c>
      <c r="G19" s="776">
        <f>F19*G$14</f>
        <v>159.835211388151</v>
      </c>
      <c r="H19" s="776">
        <f>G19*H$14</f>
        <v>164.63026772979555</v>
      </c>
      <c r="I19" s="777"/>
    </row>
    <row r="20" spans="1:10" s="752" customFormat="1" ht="18.75">
      <c r="A20" s="771" t="s">
        <v>793</v>
      </c>
      <c r="B20" s="772" t="s">
        <v>873</v>
      </c>
      <c r="C20" s="773" t="s">
        <v>196</v>
      </c>
      <c r="D20" s="778">
        <f>'[6]НВВ 2020-2024'!$F$26</f>
        <v>60568.87</v>
      </c>
      <c r="E20" s="776">
        <f>D20*E$14</f>
        <v>66807.46361</v>
      </c>
      <c r="F20" s="776">
        <f>E20*F$14</f>
        <v>68811.68751830001</v>
      </c>
      <c r="G20" s="776">
        <f>F20*G$14</f>
        <v>70876.03814384901</v>
      </c>
      <c r="H20" s="776">
        <f>G20*H$14</f>
        <v>73002.3192881645</v>
      </c>
      <c r="I20" s="777"/>
      <c r="J20" s="831"/>
    </row>
    <row r="21" spans="1:10" s="752" customFormat="1" ht="18.75">
      <c r="A21" s="771" t="s">
        <v>796</v>
      </c>
      <c r="B21" s="780" t="s">
        <v>874</v>
      </c>
      <c r="C21" s="773" t="s">
        <v>196</v>
      </c>
      <c r="D21" s="778">
        <f>'[6]НВВ 2020-2024'!$F$37</f>
        <v>14015.59</v>
      </c>
      <c r="E21" s="776">
        <f aca="true" t="shared" si="0" ref="E21:H23">D21*E$14</f>
        <v>15459.19577</v>
      </c>
      <c r="F21" s="776">
        <f t="shared" si="0"/>
        <v>15922.971643100002</v>
      </c>
      <c r="G21" s="776">
        <f t="shared" si="0"/>
        <v>16400.660792393002</v>
      </c>
      <c r="H21" s="776">
        <f t="shared" si="0"/>
        <v>16892.680616164795</v>
      </c>
      <c r="I21" s="777"/>
      <c r="J21" s="831"/>
    </row>
    <row r="22" spans="1:9" s="752" customFormat="1" ht="37.5">
      <c r="A22" s="771" t="s">
        <v>875</v>
      </c>
      <c r="B22" s="781" t="s">
        <v>876</v>
      </c>
      <c r="C22" s="782" t="s">
        <v>196</v>
      </c>
      <c r="D22" s="783">
        <f>SUM('[6]НВВ 2020-2024'!$F$40,'[6]НВВ 2020-2024'!$F$54:$F$56,'[6]НВВ 2020-2024'!$F$63,'[6]НВВ 2020-2024'!$F$66:$F$67)</f>
        <v>8685.17</v>
      </c>
      <c r="E22" s="776">
        <f t="shared" si="0"/>
        <v>9579.74251</v>
      </c>
      <c r="F22" s="776">
        <f t="shared" si="0"/>
        <v>9867.1347853</v>
      </c>
      <c r="G22" s="776">
        <f t="shared" si="0"/>
        <v>10163.148828859</v>
      </c>
      <c r="H22" s="776">
        <f t="shared" si="0"/>
        <v>10468.043293724772</v>
      </c>
      <c r="I22" s="777"/>
    </row>
    <row r="23" spans="1:9" s="752" customFormat="1" ht="37.5">
      <c r="A23" s="771" t="s">
        <v>877</v>
      </c>
      <c r="B23" s="781" t="s">
        <v>878</v>
      </c>
      <c r="C23" s="782" t="s">
        <v>196</v>
      </c>
      <c r="D23" s="783">
        <f>'18.2'!E39</f>
        <v>0</v>
      </c>
      <c r="E23" s="776">
        <f t="shared" si="0"/>
        <v>0</v>
      </c>
      <c r="F23" s="776">
        <f t="shared" si="0"/>
        <v>0</v>
      </c>
      <c r="G23" s="776">
        <f t="shared" si="0"/>
        <v>0</v>
      </c>
      <c r="H23" s="776">
        <f t="shared" si="0"/>
        <v>0</v>
      </c>
      <c r="I23" s="777"/>
    </row>
    <row r="24" spans="1:9" s="752" customFormat="1" ht="18.75">
      <c r="A24" s="784" t="s">
        <v>879</v>
      </c>
      <c r="B24" s="780" t="s">
        <v>880</v>
      </c>
      <c r="C24" s="785" t="s">
        <v>196</v>
      </c>
      <c r="D24" s="786">
        <f>'[6]НВВ 2020-2024'!$F$65</f>
        <v>103.81</v>
      </c>
      <c r="E24" s="786">
        <f>E25+E26+E27</f>
        <v>114.50243</v>
      </c>
      <c r="F24" s="786">
        <f>F25+F26+F27</f>
        <v>117.59399561</v>
      </c>
      <c r="G24" s="786">
        <f>G25+G26+G27</f>
        <v>120.76903349146998</v>
      </c>
      <c r="H24" s="786">
        <f>H25+H26+H27</f>
        <v>124.02979739573966</v>
      </c>
      <c r="I24" s="775">
        <f>I25+I27</f>
        <v>0</v>
      </c>
    </row>
    <row r="25" spans="1:9" s="752" customFormat="1" ht="18.75">
      <c r="A25" s="784" t="s">
        <v>881</v>
      </c>
      <c r="B25" s="787" t="s">
        <v>882</v>
      </c>
      <c r="C25" s="788"/>
      <c r="D25" s="783"/>
      <c r="E25" s="776"/>
      <c r="F25" s="776"/>
      <c r="G25" s="776"/>
      <c r="H25" s="776"/>
      <c r="I25" s="789"/>
    </row>
    <row r="26" spans="1:9" s="752" customFormat="1" ht="37.5">
      <c r="A26" s="784" t="s">
        <v>883</v>
      </c>
      <c r="B26" s="787" t="s">
        <v>884</v>
      </c>
      <c r="C26" s="788"/>
      <c r="D26" s="783"/>
      <c r="E26" s="776"/>
      <c r="F26" s="776"/>
      <c r="G26" s="776"/>
      <c r="H26" s="776"/>
      <c r="I26" s="789"/>
    </row>
    <row r="27" spans="1:9" s="752" customFormat="1" ht="19.5" thickBot="1">
      <c r="A27" s="784" t="s">
        <v>885</v>
      </c>
      <c r="B27" s="787" t="s">
        <v>886</v>
      </c>
      <c r="C27" s="790" t="s">
        <v>196</v>
      </c>
      <c r="D27" s="791">
        <v>103.81</v>
      </c>
      <c r="E27" s="776">
        <f>D27*E14</f>
        <v>114.50243</v>
      </c>
      <c r="F27" s="776">
        <f>E27*1.027</f>
        <v>117.59399561</v>
      </c>
      <c r="G27" s="776">
        <f>F27*1.027</f>
        <v>120.76903349146998</v>
      </c>
      <c r="H27" s="776">
        <f>G27*1.027</f>
        <v>124.02979739573966</v>
      </c>
      <c r="I27" s="792"/>
    </row>
    <row r="28" spans="1:9" s="752" customFormat="1" ht="36.75" customHeight="1" thickBot="1">
      <c r="A28" s="793"/>
      <c r="B28" s="794" t="s">
        <v>887</v>
      </c>
      <c r="C28" s="795" t="s">
        <v>196</v>
      </c>
      <c r="D28" s="796">
        <f aca="true" t="shared" si="1" ref="D28:I28">D19+D20+D21+D22+D23+D24</f>
        <v>83510.03113</v>
      </c>
      <c r="E28" s="797">
        <f t="shared" si="1"/>
        <v>92111.56433639</v>
      </c>
      <c r="F28" s="797">
        <f>F19+F20+F21+F22+F23+F24+0.01</f>
        <v>94874.57775919171</v>
      </c>
      <c r="G28" s="797">
        <f>G19+G20+G21+G22+G23+G24-0.01</f>
        <v>97720.44200998064</v>
      </c>
      <c r="H28" s="798">
        <f t="shared" si="1"/>
        <v>100651.70326317959</v>
      </c>
      <c r="I28" s="797">
        <f t="shared" si="1"/>
        <v>0</v>
      </c>
    </row>
    <row r="29" spans="1:8" s="752" customFormat="1" ht="18.75">
      <c r="A29" s="799"/>
      <c r="B29" s="800"/>
      <c r="C29" s="800"/>
      <c r="D29" s="920"/>
      <c r="E29" s="800"/>
      <c r="F29" s="800"/>
      <c r="H29" s="768"/>
    </row>
    <row r="30" spans="1:9" s="752" customFormat="1" ht="19.5" thickBot="1">
      <c r="A30" s="1226" t="s">
        <v>888</v>
      </c>
      <c r="B30" s="1227"/>
      <c r="C30" s="1227"/>
      <c r="D30" s="1227"/>
      <c r="E30" s="1227"/>
      <c r="F30" s="1228"/>
      <c r="G30" s="1228"/>
      <c r="H30" s="1228"/>
      <c r="I30" s="1228"/>
    </row>
    <row r="31" spans="1:9" s="752" customFormat="1" ht="56.25">
      <c r="A31" s="1221" t="s">
        <v>869</v>
      </c>
      <c r="B31" s="1223" t="s">
        <v>198</v>
      </c>
      <c r="C31" s="1225" t="s">
        <v>855</v>
      </c>
      <c r="D31" s="751" t="s">
        <v>1249</v>
      </c>
      <c r="E31" s="887">
        <v>2021</v>
      </c>
      <c r="F31" s="753">
        <v>2022</v>
      </c>
      <c r="G31" s="751">
        <v>2023</v>
      </c>
      <c r="H31" s="754">
        <v>2024</v>
      </c>
      <c r="I31" s="769" t="s">
        <v>870</v>
      </c>
    </row>
    <row r="32" spans="1:9" s="752" customFormat="1" ht="56.25">
      <c r="A32" s="1222"/>
      <c r="B32" s="1224"/>
      <c r="C32" s="1224"/>
      <c r="D32" s="758" t="s">
        <v>871</v>
      </c>
      <c r="E32" s="758" t="s">
        <v>871</v>
      </c>
      <c r="F32" s="758" t="s">
        <v>871</v>
      </c>
      <c r="G32" s="758" t="s">
        <v>871</v>
      </c>
      <c r="H32" s="758" t="s">
        <v>871</v>
      </c>
      <c r="I32" s="770" t="s">
        <v>25</v>
      </c>
    </row>
    <row r="33" spans="1:10" s="752" customFormat="1" ht="18.75">
      <c r="A33" s="802" t="s">
        <v>717</v>
      </c>
      <c r="B33" s="803" t="s">
        <v>509</v>
      </c>
      <c r="C33" s="804" t="s">
        <v>196</v>
      </c>
      <c r="D33" s="805">
        <f>'18.2'!E12</f>
        <v>18008.44737</v>
      </c>
      <c r="E33" s="807">
        <f>'18.2'!G12</f>
        <v>19209.841777366295</v>
      </c>
      <c r="F33" s="808">
        <f>E33</f>
        <v>19209.841777366295</v>
      </c>
      <c r="G33" s="808">
        <f>F33</f>
        <v>19209.841777366295</v>
      </c>
      <c r="H33" s="808">
        <f>G33</f>
        <v>19209.841777366295</v>
      </c>
      <c r="I33" s="809" t="e">
        <f>#REF!</f>
        <v>#REF!</v>
      </c>
      <c r="J33" s="831"/>
    </row>
    <row r="34" spans="1:9" s="752" customFormat="1" ht="37.5">
      <c r="A34" s="802" t="s">
        <v>719</v>
      </c>
      <c r="B34" s="803" t="s">
        <v>889</v>
      </c>
      <c r="C34" s="804" t="s">
        <v>196</v>
      </c>
      <c r="D34" s="805">
        <f>'[6]НВВ 2020-2024'!$F$88</f>
        <v>13336.34</v>
      </c>
      <c r="E34" s="807">
        <f>'21.3'!G14</f>
        <v>12668.496128527357</v>
      </c>
      <c r="F34" s="811">
        <f>36119-F33</f>
        <v>16909.158222633705</v>
      </c>
      <c r="G34" s="811">
        <f>36132-G33</f>
        <v>16922.158222633705</v>
      </c>
      <c r="H34" s="811">
        <f>36114-H33</f>
        <v>16904.158222633705</v>
      </c>
      <c r="I34" s="809"/>
    </row>
    <row r="35" spans="1:9" s="752" customFormat="1" ht="18.75">
      <c r="A35" s="802" t="s">
        <v>721</v>
      </c>
      <c r="B35" s="803" t="s">
        <v>890</v>
      </c>
      <c r="C35" s="804" t="s">
        <v>196</v>
      </c>
      <c r="D35" s="810"/>
      <c r="E35" s="807"/>
      <c r="F35" s="808"/>
      <c r="G35" s="807"/>
      <c r="H35" s="812"/>
      <c r="I35" s="809"/>
    </row>
    <row r="36" spans="1:9" s="752" customFormat="1" ht="18.75">
      <c r="A36" s="802" t="s">
        <v>723</v>
      </c>
      <c r="B36" s="803" t="s">
        <v>891</v>
      </c>
      <c r="C36" s="804" t="s">
        <v>196</v>
      </c>
      <c r="D36" s="810"/>
      <c r="E36" s="807"/>
      <c r="F36" s="808"/>
      <c r="G36" s="807"/>
      <c r="H36" s="812"/>
      <c r="I36" s="809"/>
    </row>
    <row r="37" spans="1:10" s="752" customFormat="1" ht="18.75">
      <c r="A37" s="813" t="s">
        <v>725</v>
      </c>
      <c r="B37" s="772" t="s">
        <v>892</v>
      </c>
      <c r="C37" s="773" t="s">
        <v>196</v>
      </c>
      <c r="D37" s="778">
        <f>'[6]НВВ 2020-2024'!$F$72</f>
        <v>48.9</v>
      </c>
      <c r="E37" s="807">
        <f>'неподконтрольные ээ'!H10/1000</f>
        <v>859.7837999999999</v>
      </c>
      <c r="F37" s="808">
        <f>E37</f>
        <v>859.7837999999999</v>
      </c>
      <c r="G37" s="808">
        <f>F37</f>
        <v>859.7837999999999</v>
      </c>
      <c r="H37" s="808">
        <f>G37</f>
        <v>859.7837999999999</v>
      </c>
      <c r="I37" s="809"/>
      <c r="J37" s="831"/>
    </row>
    <row r="38" spans="1:9" s="752" customFormat="1" ht="18.75">
      <c r="A38" s="813" t="s">
        <v>727</v>
      </c>
      <c r="B38" s="772" t="s">
        <v>893</v>
      </c>
      <c r="C38" s="773" t="s">
        <v>196</v>
      </c>
      <c r="D38" s="778">
        <f>D39+D40+D41</f>
        <v>2072.22</v>
      </c>
      <c r="E38" s="778">
        <f>E39+E40+E41</f>
        <v>2379.257462410037</v>
      </c>
      <c r="F38" s="808">
        <f>F39+F40+F41</f>
        <v>2379.257462410037</v>
      </c>
      <c r="G38" s="807">
        <v>2143.28</v>
      </c>
      <c r="H38" s="814">
        <f>'[3]неподконтрольные ээ'!$H$16/1000</f>
        <v>3287.6153579130446</v>
      </c>
      <c r="I38" s="806" t="e">
        <f>I39+I40+I41</f>
        <v>#REF!</v>
      </c>
    </row>
    <row r="39" spans="1:9" s="752" customFormat="1" ht="18.75" customHeight="1">
      <c r="A39" s="813" t="s">
        <v>894</v>
      </c>
      <c r="B39" s="815" t="s">
        <v>895</v>
      </c>
      <c r="C39" s="773" t="s">
        <v>196</v>
      </c>
      <c r="D39" s="778"/>
      <c r="E39" s="807"/>
      <c r="F39" s="808"/>
      <c r="G39" s="807"/>
      <c r="H39" s="779"/>
      <c r="I39" s="809" t="e">
        <f>#REF!</f>
        <v>#REF!</v>
      </c>
    </row>
    <row r="40" spans="1:9" s="752" customFormat="1" ht="18.75">
      <c r="A40" s="813" t="s">
        <v>896</v>
      </c>
      <c r="B40" s="815" t="s">
        <v>144</v>
      </c>
      <c r="C40" s="773" t="s">
        <v>196</v>
      </c>
      <c r="D40" s="778">
        <f>'[6]НВВ 2020-2024'!$F$78</f>
        <v>1745.57</v>
      </c>
      <c r="E40" s="807">
        <f>'21.3'!G36</f>
        <v>2052.875973476948</v>
      </c>
      <c r="F40" s="807">
        <f aca="true" t="shared" si="2" ref="F40:H41">E40</f>
        <v>2052.875973476948</v>
      </c>
      <c r="G40" s="807">
        <f t="shared" si="2"/>
        <v>2052.875973476948</v>
      </c>
      <c r="H40" s="807">
        <f t="shared" si="2"/>
        <v>2052.875973476948</v>
      </c>
      <c r="I40" s="809" t="e">
        <f>#REF!</f>
        <v>#REF!</v>
      </c>
    </row>
    <row r="41" spans="1:9" s="752" customFormat="1" ht="18.75">
      <c r="A41" s="813" t="s">
        <v>897</v>
      </c>
      <c r="B41" s="815" t="s">
        <v>898</v>
      </c>
      <c r="C41" s="773" t="s">
        <v>196</v>
      </c>
      <c r="D41" s="778">
        <f>'[6]НВВ 2020-2024'!$F$77+'[6]НВВ 2020-2024'!$F$79</f>
        <v>326.65</v>
      </c>
      <c r="E41" s="807">
        <f>('неподконтрольные ээ'!H17+'неподконтрольные ээ'!H19)/1000</f>
        <v>326.38148893308926</v>
      </c>
      <c r="F41" s="807">
        <f t="shared" si="2"/>
        <v>326.38148893308926</v>
      </c>
      <c r="G41" s="807">
        <f t="shared" si="2"/>
        <v>326.38148893308926</v>
      </c>
      <c r="H41" s="807">
        <f t="shared" si="2"/>
        <v>326.38148893308926</v>
      </c>
      <c r="I41" s="809"/>
    </row>
    <row r="42" spans="1:9" s="752" customFormat="1" ht="18.75">
      <c r="A42" s="813" t="s">
        <v>729</v>
      </c>
      <c r="B42" s="803" t="s">
        <v>899</v>
      </c>
      <c r="C42" s="773" t="s">
        <v>196</v>
      </c>
      <c r="D42" s="778">
        <f>'18.2'!E10+'18.2'!E22+'18.2'!E38</f>
        <v>18412.93648</v>
      </c>
      <c r="E42" s="807">
        <f>'15(ээ)'!E20</f>
        <v>20309.46893744</v>
      </c>
      <c r="F42" s="808">
        <f>F20*0.304</f>
        <v>20918.7530055632</v>
      </c>
      <c r="G42" s="808">
        <f>G20*0.304</f>
        <v>21546.3155957301</v>
      </c>
      <c r="H42" s="808">
        <f>H20*0.304</f>
        <v>22192.705063602007</v>
      </c>
      <c r="I42" s="809"/>
    </row>
    <row r="43" spans="1:9" s="752" customFormat="1" ht="18.75">
      <c r="A43" s="813" t="s">
        <v>731</v>
      </c>
      <c r="B43" s="772" t="s">
        <v>900</v>
      </c>
      <c r="C43" s="773" t="s">
        <v>196</v>
      </c>
      <c r="D43" s="778"/>
      <c r="E43" s="807">
        <f>'неподконтрольные ээ'!H15/1000</f>
        <v>58.00417995463172</v>
      </c>
      <c r="F43" s="808">
        <f>E43</f>
        <v>58.00417995463172</v>
      </c>
      <c r="G43" s="808">
        <f>F43</f>
        <v>58.00417995463172</v>
      </c>
      <c r="H43" s="808">
        <f>G43</f>
        <v>58.00417995463172</v>
      </c>
      <c r="I43" s="809"/>
    </row>
    <row r="44" spans="1:9" s="752" customFormat="1" ht="38.25" thickBot="1">
      <c r="A44" s="816" t="s">
        <v>733</v>
      </c>
      <c r="B44" s="817" t="s">
        <v>901</v>
      </c>
      <c r="C44" s="818" t="s">
        <v>196</v>
      </c>
      <c r="D44" s="819"/>
      <c r="E44" s="807"/>
      <c r="F44" s="821"/>
      <c r="G44" s="820"/>
      <c r="H44" s="822"/>
      <c r="I44" s="823"/>
    </row>
    <row r="45" spans="1:10" s="752" customFormat="1" ht="19.5" thickBot="1">
      <c r="A45" s="824"/>
      <c r="B45" s="825" t="s">
        <v>902</v>
      </c>
      <c r="C45" s="801" t="s">
        <v>196</v>
      </c>
      <c r="D45" s="826">
        <f>D33+D34+D35+D36+D37+D38+D42</f>
        <v>51878.843850000005</v>
      </c>
      <c r="E45" s="827">
        <f>E33+E34+E35+E36+E37+E38+E42+E43+E44+0.01</f>
        <v>55484.86228569832</v>
      </c>
      <c r="F45" s="828">
        <f>F33+F34+F35+F36+F37+F38+F42+F43+F44</f>
        <v>60334.79844792787</v>
      </c>
      <c r="G45" s="829">
        <f>G33+G34+G35+G36+G37+G38+G42+G43+G44</f>
        <v>60739.383575684726</v>
      </c>
      <c r="H45" s="828">
        <f>H33+H34+H35+H36+H37+H38+H42+H43+H44</f>
        <v>62512.10840146968</v>
      </c>
      <c r="I45" s="830" t="e">
        <f>I33+I34+I35+I36+I37+I38+I42+I43+I44</f>
        <v>#REF!</v>
      </c>
      <c r="J45" s="831"/>
    </row>
    <row r="46" spans="1:8" s="752" customFormat="1" ht="19.5" thickBot="1">
      <c r="A46" s="832"/>
      <c r="B46" s="833"/>
      <c r="C46" s="833"/>
      <c r="D46" s="834">
        <f>D45-D34</f>
        <v>38542.50385000001</v>
      </c>
      <c r="E46" s="834">
        <f>E45-E34</f>
        <v>42816.36615717097</v>
      </c>
      <c r="F46" s="834">
        <f>F45-F34</f>
        <v>43425.64022529416</v>
      </c>
      <c r="G46" s="834">
        <f>G45-G34</f>
        <v>43817.22535305102</v>
      </c>
      <c r="H46" s="834">
        <f>H45-H34</f>
        <v>45607.95017883598</v>
      </c>
    </row>
    <row r="47" spans="1:10" s="752" customFormat="1" ht="19.5" thickBot="1">
      <c r="A47" s="835"/>
      <c r="B47" s="836" t="s">
        <v>903</v>
      </c>
      <c r="C47" s="837" t="s">
        <v>196</v>
      </c>
      <c r="D47" s="838">
        <f aca="true" t="shared" si="3" ref="D47:I47">D45+D28</f>
        <v>135388.87498000002</v>
      </c>
      <c r="E47" s="838">
        <f t="shared" si="3"/>
        <v>147596.42662208833</v>
      </c>
      <c r="F47" s="838">
        <f t="shared" si="3"/>
        <v>155209.37620711958</v>
      </c>
      <c r="G47" s="838">
        <f t="shared" si="3"/>
        <v>158459.82558566536</v>
      </c>
      <c r="H47" s="839">
        <f t="shared" si="3"/>
        <v>163163.81166464929</v>
      </c>
      <c r="I47" s="840" t="e">
        <f t="shared" si="3"/>
        <v>#REF!</v>
      </c>
      <c r="J47" s="831"/>
    </row>
    <row r="48" spans="1:8" s="752" customFormat="1" ht="19.5" thickBot="1">
      <c r="A48" s="832"/>
      <c r="B48" s="833"/>
      <c r="C48" s="833"/>
      <c r="D48" s="833"/>
      <c r="E48" s="921"/>
      <c r="F48" s="922"/>
      <c r="G48" s="858"/>
      <c r="H48" s="768"/>
    </row>
    <row r="49" spans="1:9" s="752" customFormat="1" ht="57.75" customHeight="1">
      <c r="A49" s="1221" t="s">
        <v>869</v>
      </c>
      <c r="B49" s="1223" t="s">
        <v>198</v>
      </c>
      <c r="C49" s="1225" t="s">
        <v>855</v>
      </c>
      <c r="D49" s="751" t="s">
        <v>1249</v>
      </c>
      <c r="E49" s="887">
        <v>2021</v>
      </c>
      <c r="F49" s="753">
        <v>2022</v>
      </c>
      <c r="G49" s="751">
        <v>2023</v>
      </c>
      <c r="H49" s="754">
        <v>2024</v>
      </c>
      <c r="I49" s="769" t="s">
        <v>870</v>
      </c>
    </row>
    <row r="50" spans="1:9" s="752" customFormat="1" ht="53.25" customHeight="1" thickBot="1">
      <c r="A50" s="1222"/>
      <c r="B50" s="1224"/>
      <c r="C50" s="1224"/>
      <c r="D50" s="758" t="s">
        <v>871</v>
      </c>
      <c r="E50" s="758" t="s">
        <v>871</v>
      </c>
      <c r="F50" s="758" t="s">
        <v>871</v>
      </c>
      <c r="G50" s="758" t="s">
        <v>871</v>
      </c>
      <c r="H50" s="758" t="s">
        <v>871</v>
      </c>
      <c r="I50" s="841" t="s">
        <v>25</v>
      </c>
    </row>
    <row r="51" spans="1:9" s="752" customFormat="1" ht="18.75">
      <c r="A51" s="842" t="s">
        <v>28</v>
      </c>
      <c r="B51" s="843" t="s">
        <v>904</v>
      </c>
      <c r="C51" s="774" t="s">
        <v>196</v>
      </c>
      <c r="D51" s="778">
        <f>'[6]НВВ 2020-2024'!$F$94</f>
        <v>6930.620000000001</v>
      </c>
      <c r="E51" s="844">
        <f>'15(ээ)'!E38-E53</f>
        <v>26370.769187340462</v>
      </c>
      <c r="F51" s="844"/>
      <c r="G51" s="845"/>
      <c r="H51" s="846"/>
      <c r="I51" s="847"/>
    </row>
    <row r="52" spans="1:9" s="752" customFormat="1" ht="18.75">
      <c r="A52" s="842"/>
      <c r="B52" s="843"/>
      <c r="C52" s="774" t="s">
        <v>196</v>
      </c>
      <c r="D52" s="778"/>
      <c r="E52" s="844"/>
      <c r="F52" s="844"/>
      <c r="G52" s="845"/>
      <c r="H52" s="779"/>
      <c r="I52" s="848"/>
    </row>
    <row r="53" spans="1:9" s="752" customFormat="1" ht="19.5" thickBot="1">
      <c r="A53" s="849"/>
      <c r="B53" s="850" t="s">
        <v>856</v>
      </c>
      <c r="C53" s="819" t="s">
        <v>196</v>
      </c>
      <c r="D53" s="1282">
        <f>'[6]НВВ 2020-2024'!$F$95</f>
        <v>1508.41</v>
      </c>
      <c r="E53" s="851">
        <f>1610.92</f>
        <v>1610.92</v>
      </c>
      <c r="F53" s="851"/>
      <c r="G53" s="852"/>
      <c r="H53" s="853"/>
      <c r="I53" s="848"/>
    </row>
    <row r="54" spans="1:8" s="752" customFormat="1" ht="19.5" thickBot="1">
      <c r="A54" s="832"/>
      <c r="B54" s="833"/>
      <c r="C54" s="833"/>
      <c r="D54" s="854"/>
      <c r="E54" s="854"/>
      <c r="F54" s="854"/>
      <c r="G54" s="854"/>
      <c r="H54" s="854"/>
    </row>
    <row r="55" spans="1:9" s="752" customFormat="1" ht="19.5" thickBot="1">
      <c r="A55" s="835" t="s">
        <v>202</v>
      </c>
      <c r="B55" s="855" t="s">
        <v>905</v>
      </c>
      <c r="C55" s="837" t="s">
        <v>196</v>
      </c>
      <c r="D55" s="856">
        <f>D47+D51+D52+D53</f>
        <v>143827.90498000002</v>
      </c>
      <c r="E55" s="838">
        <f>E47+E51+E52+E53</f>
        <v>175578.1158094288</v>
      </c>
      <c r="F55" s="838">
        <f>F47+F51+F52+F53</f>
        <v>155209.37620711958</v>
      </c>
      <c r="G55" s="857">
        <f>G45+G28+G51+G52+G53</f>
        <v>158459.82558566536</v>
      </c>
      <c r="H55" s="839">
        <f>H45+H28+H51+H52+H53</f>
        <v>163163.81166464929</v>
      </c>
      <c r="I55" s="839" t="e">
        <f>I45+I28+I51+I52+I53</f>
        <v>#REF!</v>
      </c>
    </row>
    <row r="56" s="752" customFormat="1" ht="18">
      <c r="H56" s="768"/>
    </row>
    <row r="57" spans="1:9" s="752" customFormat="1" ht="18.75">
      <c r="A57" s="859" t="s">
        <v>605</v>
      </c>
      <c r="B57" s="860" t="s">
        <v>906</v>
      </c>
      <c r="C57" s="758" t="s">
        <v>858</v>
      </c>
      <c r="D57" s="861">
        <v>387.264</v>
      </c>
      <c r="E57" s="862">
        <f>4!O27</f>
        <v>370.307</v>
      </c>
      <c r="F57" s="862">
        <f>E57</f>
        <v>370.307</v>
      </c>
      <c r="G57" s="862">
        <f>F57</f>
        <v>370.307</v>
      </c>
      <c r="H57" s="862">
        <f>G57</f>
        <v>370.307</v>
      </c>
      <c r="I57" s="863" t="e">
        <f>#REF!</f>
        <v>#REF!</v>
      </c>
    </row>
    <row r="58" spans="1:9" s="752" customFormat="1" ht="18.75">
      <c r="A58" s="864" t="s">
        <v>607</v>
      </c>
      <c r="B58" s="860" t="s">
        <v>907</v>
      </c>
      <c r="C58" s="758" t="s">
        <v>833</v>
      </c>
      <c r="D58" s="861">
        <v>55.106</v>
      </c>
      <c r="E58" s="862">
        <f>5!O27</f>
        <v>52.80499999999999</v>
      </c>
      <c r="F58" s="862">
        <f aca="true" t="shared" si="4" ref="F58:H59">E58</f>
        <v>52.80499999999999</v>
      </c>
      <c r="G58" s="862">
        <f t="shared" si="4"/>
        <v>52.80499999999999</v>
      </c>
      <c r="H58" s="862">
        <f t="shared" si="4"/>
        <v>52.80499999999999</v>
      </c>
      <c r="I58" s="863" t="e">
        <f>#REF!</f>
        <v>#REF!</v>
      </c>
    </row>
    <row r="59" spans="1:9" s="752" customFormat="1" ht="18.75">
      <c r="A59" s="864" t="s">
        <v>803</v>
      </c>
      <c r="B59" s="860" t="s">
        <v>908</v>
      </c>
      <c r="C59" s="758" t="str">
        <f>C57</f>
        <v>млн. кВт.ч</v>
      </c>
      <c r="D59" s="861">
        <v>5.898</v>
      </c>
      <c r="E59" s="862">
        <f>4!O24</f>
        <v>5.283</v>
      </c>
      <c r="F59" s="862">
        <f t="shared" si="4"/>
        <v>5.283</v>
      </c>
      <c r="G59" s="862">
        <f t="shared" si="4"/>
        <v>5.283</v>
      </c>
      <c r="H59" s="862">
        <f t="shared" si="4"/>
        <v>5.283</v>
      </c>
      <c r="I59" s="863"/>
    </row>
    <row r="60" spans="1:9" s="752" customFormat="1" ht="19.5" thickBot="1">
      <c r="A60" s="864" t="s">
        <v>909</v>
      </c>
      <c r="B60" s="860" t="s">
        <v>910</v>
      </c>
      <c r="C60" s="758" t="s">
        <v>911</v>
      </c>
      <c r="D60" s="865">
        <v>2426.98</v>
      </c>
      <c r="E60" s="866">
        <f>D60*E14</f>
        <v>2676.95894</v>
      </c>
      <c r="F60" s="866">
        <f>E60*F14</f>
        <v>2757.2677082</v>
      </c>
      <c r="G60" s="866">
        <f>F60*G14</f>
        <v>2839.985739446</v>
      </c>
      <c r="H60" s="866">
        <f>G60*H14</f>
        <v>2925.18531162938</v>
      </c>
      <c r="I60" s="845"/>
    </row>
    <row r="61" spans="1:9" s="752" customFormat="1" ht="38.25" thickBot="1">
      <c r="A61" s="835" t="s">
        <v>206</v>
      </c>
      <c r="B61" s="867" t="s">
        <v>912</v>
      </c>
      <c r="C61" s="868" t="s">
        <v>505</v>
      </c>
      <c r="D61" s="869">
        <f>D59*D60</f>
        <v>14314.328039999999</v>
      </c>
      <c r="E61" s="870">
        <f>E59*E60</f>
        <v>14142.374080020001</v>
      </c>
      <c r="F61" s="870">
        <f>F60*F59</f>
        <v>14566.6453024206</v>
      </c>
      <c r="G61" s="871">
        <f>G60*G59</f>
        <v>15003.64466149322</v>
      </c>
      <c r="H61" s="872">
        <f>H60*H59</f>
        <v>15453.754001338017</v>
      </c>
      <c r="I61" s="873"/>
    </row>
    <row r="62" spans="1:9" s="752" customFormat="1" ht="19.5" thickBot="1">
      <c r="A62" s="874"/>
      <c r="G62" s="875"/>
      <c r="H62" s="768"/>
      <c r="I62" s="876"/>
    </row>
    <row r="63" spans="1:9" s="752" customFormat="1" ht="19.5" thickBot="1">
      <c r="A63" s="835" t="s">
        <v>610</v>
      </c>
      <c r="B63" s="867" t="s">
        <v>913</v>
      </c>
      <c r="C63" s="868" t="s">
        <v>505</v>
      </c>
      <c r="D63" s="869">
        <f>D61+D55</f>
        <v>158142.23302</v>
      </c>
      <c r="E63" s="869">
        <f>E61+E55</f>
        <v>189720.4898894488</v>
      </c>
      <c r="F63" s="869">
        <f>F61+F55</f>
        <v>169776.02150954018</v>
      </c>
      <c r="G63" s="869">
        <f>G61+G55</f>
        <v>173463.47024715858</v>
      </c>
      <c r="H63" s="869">
        <f>H61+H55</f>
        <v>178617.5656659873</v>
      </c>
      <c r="I63" s="873"/>
    </row>
  </sheetData>
  <sheetProtection/>
  <mergeCells count="17">
    <mergeCell ref="A10:H10"/>
    <mergeCell ref="A16:I16"/>
    <mergeCell ref="A17:A18"/>
    <mergeCell ref="B17:B18"/>
    <mergeCell ref="C17:C18"/>
    <mergeCell ref="H1:I1"/>
    <mergeCell ref="H2:I2"/>
    <mergeCell ref="H3:I3"/>
    <mergeCell ref="A5:H5"/>
    <mergeCell ref="A7:H7"/>
    <mergeCell ref="A49:A50"/>
    <mergeCell ref="B49:B50"/>
    <mergeCell ref="C49:C50"/>
    <mergeCell ref="A30:I30"/>
    <mergeCell ref="A31:A32"/>
    <mergeCell ref="B31:B32"/>
    <mergeCell ref="C31:C32"/>
  </mergeCells>
  <dataValidations count="1">
    <dataValidation type="decimal" allowBlank="1" showInputMessage="1" showErrorMessage="1" error="Ввведеное значение неверно" sqref="H38:I38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213"/>
  <sheetViews>
    <sheetView view="pageBreakPreview" zoomScaleSheetLayoutView="100" zoomScalePageLayoutView="0" workbookViewId="0" topLeftCell="A1">
      <pane xSplit="1" ySplit="4" topLeftCell="B203" activePane="bottomRight" state="frozen"/>
      <selection pane="topLeft" activeCell="A4" sqref="A4:AB4"/>
      <selection pane="topRight" activeCell="A4" sqref="A4:AB4"/>
      <selection pane="bottomLeft" activeCell="A4" sqref="A4:AB4"/>
      <selection pane="bottomRight" activeCell="F209" sqref="F209"/>
    </sheetView>
  </sheetViews>
  <sheetFormatPr defaultColWidth="9.00390625" defaultRowHeight="12.75" outlineLevelCol="1"/>
  <cols>
    <col min="1" max="1" width="48.25390625" style="881" customWidth="1"/>
    <col min="2" max="2" width="13.375" style="94" bestFit="1" customWidth="1"/>
    <col min="3" max="4" width="14.625" style="94" hidden="1" customWidth="1" outlineLevel="1"/>
    <col min="5" max="5" width="14.625" style="94" customWidth="1" collapsed="1"/>
    <col min="6" max="7" width="14.625" style="94" customWidth="1"/>
    <col min="8" max="8" width="13.875" style="94" customWidth="1"/>
    <col min="9" max="9" width="14.75390625" style="94" customWidth="1"/>
    <col min="10" max="16384" width="9.125" style="1" customWidth="1"/>
  </cols>
  <sheetData>
    <row r="2" spans="1:9" ht="27" customHeight="1">
      <c r="A2" s="1240" t="s">
        <v>537</v>
      </c>
      <c r="B2" s="1240"/>
      <c r="C2" s="1240"/>
      <c r="D2" s="1240"/>
      <c r="E2" s="1240"/>
      <c r="F2" s="1240"/>
      <c r="G2" s="1240"/>
      <c r="H2" s="1240"/>
      <c r="I2" s="1240"/>
    </row>
    <row r="4" spans="1:9" s="207" customFormat="1" ht="51">
      <c r="A4" s="10" t="s">
        <v>99</v>
      </c>
      <c r="B4" s="118" t="s">
        <v>130</v>
      </c>
      <c r="C4" s="118" t="s">
        <v>518</v>
      </c>
      <c r="D4" s="118" t="s">
        <v>530</v>
      </c>
      <c r="E4" s="118" t="s">
        <v>531</v>
      </c>
      <c r="F4" s="118" t="s">
        <v>914</v>
      </c>
      <c r="G4" s="118" t="s">
        <v>915</v>
      </c>
      <c r="H4" s="118" t="s">
        <v>916</v>
      </c>
      <c r="I4" s="118" t="s">
        <v>917</v>
      </c>
    </row>
    <row r="5" spans="1:9" s="5" customFormat="1" ht="12.75">
      <c r="A5" s="882" t="s">
        <v>126</v>
      </c>
      <c r="B5" s="104"/>
      <c r="C5" s="104"/>
      <c r="D5" s="104"/>
      <c r="E5" s="104"/>
      <c r="F5" s="104"/>
      <c r="G5" s="104"/>
      <c r="H5" s="104"/>
      <c r="I5" s="104"/>
    </row>
    <row r="6" spans="1:9" s="3" customFormat="1" ht="12.75" customHeight="1">
      <c r="A6" s="893" t="s">
        <v>1089</v>
      </c>
      <c r="B6" s="894">
        <v>80600</v>
      </c>
      <c r="C6" s="894">
        <v>34894.45</v>
      </c>
      <c r="D6" s="89">
        <v>2679.2400000000002</v>
      </c>
      <c r="E6" s="894">
        <f>C6-D6</f>
        <v>32215.209999999995</v>
      </c>
      <c r="F6" s="209">
        <f>IF(D6&lt;=E6,D6,E6)</f>
        <v>2679.2400000000002</v>
      </c>
      <c r="G6" s="209">
        <f>E6-F6</f>
        <v>29535.969999999994</v>
      </c>
      <c r="H6" s="209">
        <f>(E6+G6)/2</f>
        <v>30875.589999999997</v>
      </c>
      <c r="I6" s="89">
        <f>H6*0.022</f>
        <v>679.2629799999999</v>
      </c>
    </row>
    <row r="7" spans="1:9" s="3" customFormat="1" ht="12.75" customHeight="1">
      <c r="A7" s="893" t="s">
        <v>1090</v>
      </c>
      <c r="B7" s="894">
        <v>161300</v>
      </c>
      <c r="C7" s="894">
        <v>69832.39</v>
      </c>
      <c r="D7" s="89">
        <v>5361.72</v>
      </c>
      <c r="E7" s="894">
        <f aca="true" t="shared" si="0" ref="E7:E70">C7-D7</f>
        <v>64470.67</v>
      </c>
      <c r="F7" s="209">
        <f aca="true" t="shared" si="1" ref="F7:F70">IF(D7&lt;=E7,D7,E7)</f>
        <v>5361.72</v>
      </c>
      <c r="G7" s="209">
        <f aca="true" t="shared" si="2" ref="G7:G70">E7-F7</f>
        <v>59108.95</v>
      </c>
      <c r="H7" s="209">
        <f aca="true" t="shared" si="3" ref="H7:H70">(E7+G7)/2</f>
        <v>61789.81</v>
      </c>
      <c r="I7" s="89">
        <f aca="true" t="shared" si="4" ref="I7:I70">H7*0.022</f>
        <v>1359.37582</v>
      </c>
    </row>
    <row r="8" spans="1:9" s="3" customFormat="1" ht="12.75" customHeight="1">
      <c r="A8" s="893" t="s">
        <v>1091</v>
      </c>
      <c r="B8" s="894">
        <v>30600</v>
      </c>
      <c r="C8" s="894">
        <v>13248.12</v>
      </c>
      <c r="D8" s="89">
        <v>1017.1200000000001</v>
      </c>
      <c r="E8" s="894">
        <f t="shared" si="0"/>
        <v>12231</v>
      </c>
      <c r="F8" s="209">
        <f t="shared" si="1"/>
        <v>1017.1200000000001</v>
      </c>
      <c r="G8" s="209">
        <f t="shared" si="2"/>
        <v>11213.88</v>
      </c>
      <c r="H8" s="209">
        <f t="shared" si="3"/>
        <v>11722.439999999999</v>
      </c>
      <c r="I8" s="89">
        <f t="shared" si="4"/>
        <v>257.89367999999996</v>
      </c>
    </row>
    <row r="9" spans="1:9" s="3" customFormat="1" ht="12.75" customHeight="1">
      <c r="A9" s="893" t="s">
        <v>1092</v>
      </c>
      <c r="B9" s="894">
        <v>314900</v>
      </c>
      <c r="C9" s="894">
        <v>136331.74</v>
      </c>
      <c r="D9" s="89">
        <v>10467.599999999999</v>
      </c>
      <c r="E9" s="894">
        <f t="shared" si="0"/>
        <v>125864.13999999998</v>
      </c>
      <c r="F9" s="209">
        <f t="shared" si="1"/>
        <v>10467.599999999999</v>
      </c>
      <c r="G9" s="209">
        <f t="shared" si="2"/>
        <v>115396.53999999998</v>
      </c>
      <c r="H9" s="209">
        <f t="shared" si="3"/>
        <v>120630.33999999998</v>
      </c>
      <c r="I9" s="89">
        <f t="shared" si="4"/>
        <v>2653.8674799999994</v>
      </c>
    </row>
    <row r="10" spans="1:9" s="3" customFormat="1" ht="12.75" customHeight="1">
      <c r="A10" s="893" t="s">
        <v>1093</v>
      </c>
      <c r="B10" s="894">
        <v>186000</v>
      </c>
      <c r="C10" s="894">
        <v>80525.48</v>
      </c>
      <c r="D10" s="89">
        <v>6182.88</v>
      </c>
      <c r="E10" s="894">
        <f t="shared" si="0"/>
        <v>74342.59999999999</v>
      </c>
      <c r="F10" s="209">
        <f t="shared" si="1"/>
        <v>6182.88</v>
      </c>
      <c r="G10" s="209">
        <f t="shared" si="2"/>
        <v>68159.71999999999</v>
      </c>
      <c r="H10" s="209">
        <f t="shared" si="3"/>
        <v>71251.15999999999</v>
      </c>
      <c r="I10" s="89">
        <f t="shared" si="4"/>
        <v>1567.5255199999997</v>
      </c>
    </row>
    <row r="11" spans="1:9" s="3" customFormat="1" ht="12.75" customHeight="1">
      <c r="A11" s="893" t="s">
        <v>1094</v>
      </c>
      <c r="B11" s="894">
        <v>313900</v>
      </c>
      <c r="C11" s="894">
        <v>135899.03</v>
      </c>
      <c r="D11" s="89">
        <v>10434.36</v>
      </c>
      <c r="E11" s="894">
        <f t="shared" si="0"/>
        <v>125464.67</v>
      </c>
      <c r="F11" s="209">
        <f t="shared" si="1"/>
        <v>10434.36</v>
      </c>
      <c r="G11" s="209">
        <f t="shared" si="2"/>
        <v>115030.31</v>
      </c>
      <c r="H11" s="209">
        <f t="shared" si="3"/>
        <v>120247.48999999999</v>
      </c>
      <c r="I11" s="89">
        <f t="shared" si="4"/>
        <v>2645.44478</v>
      </c>
    </row>
    <row r="12" spans="1:9" s="3" customFormat="1" ht="12.75" customHeight="1">
      <c r="A12" s="893" t="s">
        <v>1095</v>
      </c>
      <c r="B12" s="894">
        <v>14100</v>
      </c>
      <c r="C12" s="894">
        <v>6103.94</v>
      </c>
      <c r="D12" s="89">
        <v>468.72</v>
      </c>
      <c r="E12" s="894">
        <f t="shared" si="0"/>
        <v>5635.219999999999</v>
      </c>
      <c r="F12" s="209">
        <f t="shared" si="1"/>
        <v>468.72</v>
      </c>
      <c r="G12" s="209">
        <f t="shared" si="2"/>
        <v>5166.499999999999</v>
      </c>
      <c r="H12" s="209">
        <f t="shared" si="3"/>
        <v>5400.859999999999</v>
      </c>
      <c r="I12" s="89">
        <f t="shared" si="4"/>
        <v>118.81891999999996</v>
      </c>
    </row>
    <row r="13" spans="1:9" s="3" customFormat="1" ht="12.75" customHeight="1">
      <c r="A13" s="893" t="s">
        <v>1096</v>
      </c>
      <c r="B13" s="894">
        <v>178500</v>
      </c>
      <c r="C13" s="894">
        <v>77279.42</v>
      </c>
      <c r="D13" s="89">
        <v>5933.5199999999995</v>
      </c>
      <c r="E13" s="894">
        <f t="shared" si="0"/>
        <v>71345.9</v>
      </c>
      <c r="F13" s="209">
        <f t="shared" si="1"/>
        <v>5933.5199999999995</v>
      </c>
      <c r="G13" s="209">
        <f t="shared" si="2"/>
        <v>65412.38</v>
      </c>
      <c r="H13" s="209">
        <f t="shared" si="3"/>
        <v>68379.14</v>
      </c>
      <c r="I13" s="89">
        <f t="shared" si="4"/>
        <v>1504.34108</v>
      </c>
    </row>
    <row r="14" spans="1:9" s="3" customFormat="1" ht="12.75" customHeight="1">
      <c r="A14" s="893" t="s">
        <v>1097</v>
      </c>
      <c r="B14" s="894">
        <v>25700</v>
      </c>
      <c r="C14" s="894">
        <v>11126.41</v>
      </c>
      <c r="D14" s="89">
        <v>854.28</v>
      </c>
      <c r="E14" s="894">
        <f t="shared" si="0"/>
        <v>10272.13</v>
      </c>
      <c r="F14" s="209">
        <f t="shared" si="1"/>
        <v>854.28</v>
      </c>
      <c r="G14" s="209">
        <f t="shared" si="2"/>
        <v>9417.849999999999</v>
      </c>
      <c r="H14" s="209">
        <f t="shared" si="3"/>
        <v>9844.989999999998</v>
      </c>
      <c r="I14" s="89">
        <f t="shared" si="4"/>
        <v>216.58977999999993</v>
      </c>
    </row>
    <row r="15" spans="1:9" s="3" customFormat="1" ht="12.75" customHeight="1">
      <c r="A15" s="893" t="s">
        <v>1098</v>
      </c>
      <c r="B15" s="894">
        <v>275600</v>
      </c>
      <c r="C15" s="894">
        <v>55162.87</v>
      </c>
      <c r="D15" s="89">
        <v>13722.84</v>
      </c>
      <c r="E15" s="894">
        <f t="shared" si="0"/>
        <v>41440.03</v>
      </c>
      <c r="F15" s="209">
        <f t="shared" si="1"/>
        <v>13722.84</v>
      </c>
      <c r="G15" s="209">
        <f t="shared" si="2"/>
        <v>27717.19</v>
      </c>
      <c r="H15" s="209">
        <f t="shared" si="3"/>
        <v>34578.61</v>
      </c>
      <c r="I15" s="89">
        <f t="shared" si="4"/>
        <v>760.72942</v>
      </c>
    </row>
    <row r="16" spans="1:9" s="3" customFormat="1" ht="12.75" customHeight="1">
      <c r="A16" s="893" t="s">
        <v>1099</v>
      </c>
      <c r="B16" s="894">
        <v>757900</v>
      </c>
      <c r="C16" s="894">
        <v>151697.05</v>
      </c>
      <c r="D16" s="89">
        <v>37737.72</v>
      </c>
      <c r="E16" s="894">
        <f t="shared" si="0"/>
        <v>113959.32999999999</v>
      </c>
      <c r="F16" s="209">
        <f t="shared" si="1"/>
        <v>37737.72</v>
      </c>
      <c r="G16" s="209">
        <f t="shared" si="2"/>
        <v>76221.60999999999</v>
      </c>
      <c r="H16" s="209">
        <f t="shared" si="3"/>
        <v>95090.46999999999</v>
      </c>
      <c r="I16" s="89">
        <f t="shared" si="4"/>
        <v>2091.9903399999994</v>
      </c>
    </row>
    <row r="17" spans="1:9" s="3" customFormat="1" ht="12.75" customHeight="1">
      <c r="A17" s="893" t="s">
        <v>1100</v>
      </c>
      <c r="B17" s="894">
        <v>46000</v>
      </c>
      <c r="C17" s="894">
        <v>19915.06</v>
      </c>
      <c r="D17" s="89">
        <v>1529.04</v>
      </c>
      <c r="E17" s="894">
        <f t="shared" si="0"/>
        <v>18386.02</v>
      </c>
      <c r="F17" s="209">
        <f t="shared" si="1"/>
        <v>1529.04</v>
      </c>
      <c r="G17" s="209">
        <f t="shared" si="2"/>
        <v>16856.98</v>
      </c>
      <c r="H17" s="209">
        <f t="shared" si="3"/>
        <v>17621.5</v>
      </c>
      <c r="I17" s="89">
        <f t="shared" si="4"/>
        <v>387.673</v>
      </c>
    </row>
    <row r="18" spans="1:9" s="3" customFormat="1" ht="12.75" customHeight="1">
      <c r="A18" s="893" t="s">
        <v>924</v>
      </c>
      <c r="B18" s="894">
        <v>40001</v>
      </c>
      <c r="C18" s="894">
        <v>36667.6</v>
      </c>
      <c r="D18" s="89">
        <v>5714.4</v>
      </c>
      <c r="E18" s="894">
        <f t="shared" si="0"/>
        <v>30953.199999999997</v>
      </c>
      <c r="F18" s="209">
        <f t="shared" si="1"/>
        <v>5714.4</v>
      </c>
      <c r="G18" s="209">
        <f t="shared" si="2"/>
        <v>25238.799999999996</v>
      </c>
      <c r="H18" s="209">
        <f t="shared" si="3"/>
        <v>28095.999999999996</v>
      </c>
      <c r="I18" s="89">
        <f t="shared" si="4"/>
        <v>618.1119999999999</v>
      </c>
    </row>
    <row r="19" spans="1:9" s="3" customFormat="1" ht="12.75" customHeight="1">
      <c r="A19" s="893" t="s">
        <v>925</v>
      </c>
      <c r="B19" s="894">
        <v>40001</v>
      </c>
      <c r="C19" s="894">
        <v>36667.6</v>
      </c>
      <c r="D19" s="89">
        <v>5714.4</v>
      </c>
      <c r="E19" s="894">
        <f t="shared" si="0"/>
        <v>30953.199999999997</v>
      </c>
      <c r="F19" s="209">
        <f t="shared" si="1"/>
        <v>5714.4</v>
      </c>
      <c r="G19" s="209">
        <f t="shared" si="2"/>
        <v>25238.799999999996</v>
      </c>
      <c r="H19" s="209">
        <f t="shared" si="3"/>
        <v>28095.999999999996</v>
      </c>
      <c r="I19" s="89">
        <f t="shared" si="4"/>
        <v>618.1119999999999</v>
      </c>
    </row>
    <row r="20" spans="1:9" s="3" customFormat="1" ht="12.75" customHeight="1">
      <c r="A20" s="893" t="s">
        <v>926</v>
      </c>
      <c r="B20" s="894">
        <v>40001</v>
      </c>
      <c r="C20" s="894">
        <v>36667.6</v>
      </c>
      <c r="D20" s="89">
        <v>5714.4</v>
      </c>
      <c r="E20" s="894">
        <f t="shared" si="0"/>
        <v>30953.199999999997</v>
      </c>
      <c r="F20" s="209">
        <f t="shared" si="1"/>
        <v>5714.4</v>
      </c>
      <c r="G20" s="209">
        <f t="shared" si="2"/>
        <v>25238.799999999996</v>
      </c>
      <c r="H20" s="209">
        <f t="shared" si="3"/>
        <v>28095.999999999996</v>
      </c>
      <c r="I20" s="89">
        <f t="shared" si="4"/>
        <v>618.1119999999999</v>
      </c>
    </row>
    <row r="21" spans="1:9" s="3" customFormat="1" ht="12.75" customHeight="1">
      <c r="A21" s="893" t="s">
        <v>927</v>
      </c>
      <c r="B21" s="894">
        <v>40001</v>
      </c>
      <c r="C21" s="894">
        <v>36667.6</v>
      </c>
      <c r="D21" s="89">
        <v>5714.4</v>
      </c>
      <c r="E21" s="894">
        <f t="shared" si="0"/>
        <v>30953.199999999997</v>
      </c>
      <c r="F21" s="209">
        <f t="shared" si="1"/>
        <v>5714.4</v>
      </c>
      <c r="G21" s="209">
        <f t="shared" si="2"/>
        <v>25238.799999999996</v>
      </c>
      <c r="H21" s="209">
        <f t="shared" si="3"/>
        <v>28095.999999999996</v>
      </c>
      <c r="I21" s="89">
        <f t="shared" si="4"/>
        <v>618.1119999999999</v>
      </c>
    </row>
    <row r="22" spans="1:9" s="3" customFormat="1" ht="12.75" customHeight="1">
      <c r="A22" s="893" t="s">
        <v>928</v>
      </c>
      <c r="B22" s="894">
        <v>40001</v>
      </c>
      <c r="C22" s="894">
        <v>36667.6</v>
      </c>
      <c r="D22" s="89">
        <v>5714.4</v>
      </c>
      <c r="E22" s="894">
        <f t="shared" si="0"/>
        <v>30953.199999999997</v>
      </c>
      <c r="F22" s="209">
        <f t="shared" si="1"/>
        <v>5714.4</v>
      </c>
      <c r="G22" s="209">
        <f t="shared" si="2"/>
        <v>25238.799999999996</v>
      </c>
      <c r="H22" s="209">
        <f t="shared" si="3"/>
        <v>28095.999999999996</v>
      </c>
      <c r="I22" s="89">
        <f t="shared" si="4"/>
        <v>618.1119999999999</v>
      </c>
    </row>
    <row r="23" spans="1:9" s="3" customFormat="1" ht="12.75" customHeight="1">
      <c r="A23" s="893" t="s">
        <v>929</v>
      </c>
      <c r="B23" s="894">
        <v>40001</v>
      </c>
      <c r="C23" s="894">
        <v>36667.6</v>
      </c>
      <c r="D23" s="89">
        <v>5714.4</v>
      </c>
      <c r="E23" s="894">
        <f t="shared" si="0"/>
        <v>30953.199999999997</v>
      </c>
      <c r="F23" s="209">
        <f t="shared" si="1"/>
        <v>5714.4</v>
      </c>
      <c r="G23" s="209">
        <f t="shared" si="2"/>
        <v>25238.799999999996</v>
      </c>
      <c r="H23" s="209">
        <f t="shared" si="3"/>
        <v>28095.999999999996</v>
      </c>
      <c r="I23" s="89">
        <f t="shared" si="4"/>
        <v>618.1119999999999</v>
      </c>
    </row>
    <row r="24" spans="1:9" s="3" customFormat="1" ht="12.75" customHeight="1">
      <c r="A24" s="893" t="s">
        <v>930</v>
      </c>
      <c r="B24" s="894">
        <v>40001</v>
      </c>
      <c r="C24" s="894">
        <v>36667.6</v>
      </c>
      <c r="D24" s="89">
        <v>5714.4</v>
      </c>
      <c r="E24" s="894">
        <f t="shared" si="0"/>
        <v>30953.199999999997</v>
      </c>
      <c r="F24" s="209">
        <f t="shared" si="1"/>
        <v>5714.4</v>
      </c>
      <c r="G24" s="209">
        <f t="shared" si="2"/>
        <v>25238.799999999996</v>
      </c>
      <c r="H24" s="209">
        <f t="shared" si="3"/>
        <v>28095.999999999996</v>
      </c>
      <c r="I24" s="89">
        <f t="shared" si="4"/>
        <v>618.1119999999999</v>
      </c>
    </row>
    <row r="25" spans="1:9" s="3" customFormat="1" ht="12.75" customHeight="1">
      <c r="A25" s="893" t="s">
        <v>931</v>
      </c>
      <c r="B25" s="894">
        <v>40001</v>
      </c>
      <c r="C25" s="894">
        <v>36667.6</v>
      </c>
      <c r="D25" s="89">
        <v>5714.4</v>
      </c>
      <c r="E25" s="894">
        <f t="shared" si="0"/>
        <v>30953.199999999997</v>
      </c>
      <c r="F25" s="209">
        <f t="shared" si="1"/>
        <v>5714.4</v>
      </c>
      <c r="G25" s="209">
        <f t="shared" si="2"/>
        <v>25238.799999999996</v>
      </c>
      <c r="H25" s="209">
        <f t="shared" si="3"/>
        <v>28095.999999999996</v>
      </c>
      <c r="I25" s="89">
        <f t="shared" si="4"/>
        <v>618.1119999999999</v>
      </c>
    </row>
    <row r="26" spans="1:9" s="3" customFormat="1" ht="12.75" customHeight="1">
      <c r="A26" s="893" t="s">
        <v>932</v>
      </c>
      <c r="B26" s="894">
        <v>40001</v>
      </c>
      <c r="C26" s="894">
        <v>36667.6</v>
      </c>
      <c r="D26" s="89">
        <v>5714.4</v>
      </c>
      <c r="E26" s="894">
        <f t="shared" si="0"/>
        <v>30953.199999999997</v>
      </c>
      <c r="F26" s="209">
        <f t="shared" si="1"/>
        <v>5714.4</v>
      </c>
      <c r="G26" s="209">
        <f t="shared" si="2"/>
        <v>25238.799999999996</v>
      </c>
      <c r="H26" s="209">
        <f t="shared" si="3"/>
        <v>28095.999999999996</v>
      </c>
      <c r="I26" s="89">
        <f t="shared" si="4"/>
        <v>618.1119999999999</v>
      </c>
    </row>
    <row r="27" spans="1:9" s="3" customFormat="1" ht="12.75" customHeight="1">
      <c r="A27" s="893" t="s">
        <v>933</v>
      </c>
      <c r="B27" s="894">
        <v>40001</v>
      </c>
      <c r="C27" s="894">
        <v>36667.6</v>
      </c>
      <c r="D27" s="89">
        <v>5714.4</v>
      </c>
      <c r="E27" s="894">
        <f t="shared" si="0"/>
        <v>30953.199999999997</v>
      </c>
      <c r="F27" s="209">
        <f t="shared" si="1"/>
        <v>5714.4</v>
      </c>
      <c r="G27" s="209">
        <f t="shared" si="2"/>
        <v>25238.799999999996</v>
      </c>
      <c r="H27" s="209">
        <f t="shared" si="3"/>
        <v>28095.999999999996</v>
      </c>
      <c r="I27" s="89">
        <f t="shared" si="4"/>
        <v>618.1119999999999</v>
      </c>
    </row>
    <row r="28" spans="1:9" s="3" customFormat="1" ht="12.75" customHeight="1">
      <c r="A28" s="893" t="s">
        <v>1101</v>
      </c>
      <c r="B28" s="894">
        <v>843157.7</v>
      </c>
      <c r="C28" s="894">
        <v>702631.44</v>
      </c>
      <c r="D28" s="89">
        <v>120451.08</v>
      </c>
      <c r="E28" s="894">
        <f t="shared" si="0"/>
        <v>582180.36</v>
      </c>
      <c r="F28" s="209">
        <f t="shared" si="1"/>
        <v>120451.08</v>
      </c>
      <c r="G28" s="209">
        <f t="shared" si="2"/>
        <v>461729.27999999997</v>
      </c>
      <c r="H28" s="209">
        <f t="shared" si="3"/>
        <v>521954.81999999995</v>
      </c>
      <c r="I28" s="89">
        <f t="shared" si="4"/>
        <v>11483.006039999998</v>
      </c>
    </row>
    <row r="29" spans="1:9" s="3" customFormat="1" ht="12.75" customHeight="1">
      <c r="A29" s="893" t="s">
        <v>1102</v>
      </c>
      <c r="B29" s="894">
        <v>843157.7</v>
      </c>
      <c r="C29" s="894">
        <v>702631.44</v>
      </c>
      <c r="D29" s="89">
        <v>120451.08</v>
      </c>
      <c r="E29" s="894">
        <f t="shared" si="0"/>
        <v>582180.36</v>
      </c>
      <c r="F29" s="209">
        <f t="shared" si="1"/>
        <v>120451.08</v>
      </c>
      <c r="G29" s="209">
        <f t="shared" si="2"/>
        <v>461729.27999999997</v>
      </c>
      <c r="H29" s="209">
        <f t="shared" si="3"/>
        <v>521954.81999999995</v>
      </c>
      <c r="I29" s="89">
        <f t="shared" si="4"/>
        <v>11483.006039999998</v>
      </c>
    </row>
    <row r="30" spans="1:9" s="3" customFormat="1" ht="12.75" customHeight="1">
      <c r="A30" s="893" t="s">
        <v>1103</v>
      </c>
      <c r="B30" s="894">
        <v>770601.24</v>
      </c>
      <c r="C30" s="894">
        <v>642167.76</v>
      </c>
      <c r="D30" s="89">
        <v>110085.84</v>
      </c>
      <c r="E30" s="894">
        <f t="shared" si="0"/>
        <v>532081.92</v>
      </c>
      <c r="F30" s="209">
        <f t="shared" si="1"/>
        <v>110085.84</v>
      </c>
      <c r="G30" s="209">
        <f t="shared" si="2"/>
        <v>421996.0800000001</v>
      </c>
      <c r="H30" s="209">
        <f t="shared" si="3"/>
        <v>477039.00000000006</v>
      </c>
      <c r="I30" s="89">
        <f t="shared" si="4"/>
        <v>10494.858</v>
      </c>
    </row>
    <row r="31" spans="1:9" s="3" customFormat="1" ht="12.75" customHeight="1">
      <c r="A31" s="893" t="s">
        <v>1104</v>
      </c>
      <c r="B31" s="894">
        <v>770601.24</v>
      </c>
      <c r="C31" s="894">
        <v>642167.76</v>
      </c>
      <c r="D31" s="89">
        <v>110085.84</v>
      </c>
      <c r="E31" s="894">
        <f t="shared" si="0"/>
        <v>532081.92</v>
      </c>
      <c r="F31" s="209">
        <f t="shared" si="1"/>
        <v>110085.84</v>
      </c>
      <c r="G31" s="209">
        <f t="shared" si="2"/>
        <v>421996.0800000001</v>
      </c>
      <c r="H31" s="209">
        <f t="shared" si="3"/>
        <v>477039.00000000006</v>
      </c>
      <c r="I31" s="89">
        <f t="shared" si="4"/>
        <v>10494.858</v>
      </c>
    </row>
    <row r="32" spans="1:9" s="3" customFormat="1" ht="12.75" customHeight="1">
      <c r="A32" s="893" t="s">
        <v>1105</v>
      </c>
      <c r="B32" s="894">
        <v>770601.24</v>
      </c>
      <c r="C32" s="894">
        <v>642167.76</v>
      </c>
      <c r="D32" s="89">
        <v>110085.84</v>
      </c>
      <c r="E32" s="894">
        <f t="shared" si="0"/>
        <v>532081.92</v>
      </c>
      <c r="F32" s="209">
        <f t="shared" si="1"/>
        <v>110085.84</v>
      </c>
      <c r="G32" s="209">
        <f t="shared" si="2"/>
        <v>421996.0800000001</v>
      </c>
      <c r="H32" s="209">
        <f t="shared" si="3"/>
        <v>477039.00000000006</v>
      </c>
      <c r="I32" s="89">
        <f t="shared" si="4"/>
        <v>10494.858</v>
      </c>
    </row>
    <row r="33" spans="1:9" s="3" customFormat="1" ht="12.75" customHeight="1">
      <c r="A33" s="893" t="s">
        <v>1106</v>
      </c>
      <c r="B33" s="894">
        <v>770601.24</v>
      </c>
      <c r="C33" s="894">
        <v>642167.76</v>
      </c>
      <c r="D33" s="89">
        <v>110085.84</v>
      </c>
      <c r="E33" s="894">
        <f t="shared" si="0"/>
        <v>532081.92</v>
      </c>
      <c r="F33" s="209">
        <f t="shared" si="1"/>
        <v>110085.84</v>
      </c>
      <c r="G33" s="209">
        <f t="shared" si="2"/>
        <v>421996.0800000001</v>
      </c>
      <c r="H33" s="209">
        <f t="shared" si="3"/>
        <v>477039.00000000006</v>
      </c>
      <c r="I33" s="89">
        <f t="shared" si="4"/>
        <v>10494.858</v>
      </c>
    </row>
    <row r="34" spans="1:9" s="3" customFormat="1" ht="12.75" customHeight="1">
      <c r="A34" s="893" t="s">
        <v>934</v>
      </c>
      <c r="B34" s="894">
        <v>40001</v>
      </c>
      <c r="C34" s="894">
        <v>36667.6</v>
      </c>
      <c r="D34" s="89">
        <v>5714.4</v>
      </c>
      <c r="E34" s="894">
        <f t="shared" si="0"/>
        <v>30953.199999999997</v>
      </c>
      <c r="F34" s="209">
        <f t="shared" si="1"/>
        <v>5714.4</v>
      </c>
      <c r="G34" s="209">
        <f t="shared" si="2"/>
        <v>25238.799999999996</v>
      </c>
      <c r="H34" s="209">
        <f t="shared" si="3"/>
        <v>28095.999999999996</v>
      </c>
      <c r="I34" s="89">
        <f t="shared" si="4"/>
        <v>618.1119999999999</v>
      </c>
    </row>
    <row r="35" spans="1:9" s="3" customFormat="1" ht="12.75" customHeight="1">
      <c r="A35" s="893" t="s">
        <v>935</v>
      </c>
      <c r="B35" s="894">
        <v>40001</v>
      </c>
      <c r="C35" s="894">
        <v>36667.6</v>
      </c>
      <c r="D35" s="89">
        <v>5714.4</v>
      </c>
      <c r="E35" s="894">
        <f t="shared" si="0"/>
        <v>30953.199999999997</v>
      </c>
      <c r="F35" s="209">
        <f t="shared" si="1"/>
        <v>5714.4</v>
      </c>
      <c r="G35" s="209">
        <f t="shared" si="2"/>
        <v>25238.799999999996</v>
      </c>
      <c r="H35" s="209">
        <f t="shared" si="3"/>
        <v>28095.999999999996</v>
      </c>
      <c r="I35" s="89">
        <f t="shared" si="4"/>
        <v>618.1119999999999</v>
      </c>
    </row>
    <row r="36" spans="1:9" s="3" customFormat="1" ht="12.75" customHeight="1">
      <c r="A36" s="893" t="s">
        <v>936</v>
      </c>
      <c r="B36" s="894">
        <v>40001</v>
      </c>
      <c r="C36" s="894">
        <v>36667.6</v>
      </c>
      <c r="D36" s="89">
        <v>5714.4</v>
      </c>
      <c r="E36" s="894">
        <f t="shared" si="0"/>
        <v>30953.199999999997</v>
      </c>
      <c r="F36" s="209">
        <f t="shared" si="1"/>
        <v>5714.4</v>
      </c>
      <c r="G36" s="209">
        <f t="shared" si="2"/>
        <v>25238.799999999996</v>
      </c>
      <c r="H36" s="209">
        <f t="shared" si="3"/>
        <v>28095.999999999996</v>
      </c>
      <c r="I36" s="89">
        <f t="shared" si="4"/>
        <v>618.1119999999999</v>
      </c>
    </row>
    <row r="37" spans="1:9" s="3" customFormat="1" ht="12.75" customHeight="1">
      <c r="A37" s="893" t="s">
        <v>1107</v>
      </c>
      <c r="B37" s="894">
        <v>40001</v>
      </c>
      <c r="C37" s="894">
        <v>35067.42</v>
      </c>
      <c r="D37" s="89">
        <v>1600.08</v>
      </c>
      <c r="E37" s="894">
        <f t="shared" si="0"/>
        <v>33467.34</v>
      </c>
      <c r="F37" s="209">
        <f t="shared" si="1"/>
        <v>1600.08</v>
      </c>
      <c r="G37" s="209">
        <f t="shared" si="2"/>
        <v>31867.259999999995</v>
      </c>
      <c r="H37" s="209">
        <f t="shared" si="3"/>
        <v>32667.299999999996</v>
      </c>
      <c r="I37" s="89">
        <f t="shared" si="4"/>
        <v>718.6805999999999</v>
      </c>
    </row>
    <row r="38" spans="1:9" s="3" customFormat="1" ht="12.75" customHeight="1">
      <c r="A38" s="893" t="s">
        <v>1108</v>
      </c>
      <c r="B38" s="894">
        <v>40001</v>
      </c>
      <c r="C38" s="894">
        <v>35067.42</v>
      </c>
      <c r="D38" s="89">
        <v>1600.08</v>
      </c>
      <c r="E38" s="894">
        <f t="shared" si="0"/>
        <v>33467.34</v>
      </c>
      <c r="F38" s="209">
        <f t="shared" si="1"/>
        <v>1600.08</v>
      </c>
      <c r="G38" s="209">
        <f t="shared" si="2"/>
        <v>31867.259999999995</v>
      </c>
      <c r="H38" s="209">
        <f t="shared" si="3"/>
        <v>32667.299999999996</v>
      </c>
      <c r="I38" s="89">
        <f t="shared" si="4"/>
        <v>718.6805999999999</v>
      </c>
    </row>
    <row r="39" spans="1:9" s="3" customFormat="1" ht="12.75" customHeight="1">
      <c r="A39" s="893" t="s">
        <v>1109</v>
      </c>
      <c r="B39" s="894">
        <v>40001</v>
      </c>
      <c r="C39" s="894">
        <v>35067.42</v>
      </c>
      <c r="D39" s="89">
        <v>1600.08</v>
      </c>
      <c r="E39" s="894">
        <f t="shared" si="0"/>
        <v>33467.34</v>
      </c>
      <c r="F39" s="209">
        <f t="shared" si="1"/>
        <v>1600.08</v>
      </c>
      <c r="G39" s="209">
        <f t="shared" si="2"/>
        <v>31867.259999999995</v>
      </c>
      <c r="H39" s="209">
        <f t="shared" si="3"/>
        <v>32667.299999999996</v>
      </c>
      <c r="I39" s="89">
        <f t="shared" si="4"/>
        <v>718.6805999999999</v>
      </c>
    </row>
    <row r="40" spans="1:9" s="3" customFormat="1" ht="12.75" customHeight="1">
      <c r="A40" s="893" t="s">
        <v>1110</v>
      </c>
      <c r="B40" s="894">
        <v>40001</v>
      </c>
      <c r="C40" s="894">
        <v>35067.42</v>
      </c>
      <c r="D40" s="89">
        <v>1600.08</v>
      </c>
      <c r="E40" s="894">
        <f t="shared" si="0"/>
        <v>33467.34</v>
      </c>
      <c r="F40" s="209">
        <f t="shared" si="1"/>
        <v>1600.08</v>
      </c>
      <c r="G40" s="209">
        <f t="shared" si="2"/>
        <v>31867.259999999995</v>
      </c>
      <c r="H40" s="209">
        <f t="shared" si="3"/>
        <v>32667.299999999996</v>
      </c>
      <c r="I40" s="89">
        <f t="shared" si="4"/>
        <v>718.6805999999999</v>
      </c>
    </row>
    <row r="41" spans="1:9" s="3" customFormat="1" ht="12.75" customHeight="1">
      <c r="A41" s="893" t="s">
        <v>937</v>
      </c>
      <c r="B41" s="894">
        <v>40001</v>
      </c>
      <c r="C41" s="894">
        <v>36667.6</v>
      </c>
      <c r="D41" s="89">
        <v>5714.4</v>
      </c>
      <c r="E41" s="894">
        <f t="shared" si="0"/>
        <v>30953.199999999997</v>
      </c>
      <c r="F41" s="209">
        <f t="shared" si="1"/>
        <v>5714.4</v>
      </c>
      <c r="G41" s="209">
        <f t="shared" si="2"/>
        <v>25238.799999999996</v>
      </c>
      <c r="H41" s="209">
        <f t="shared" si="3"/>
        <v>28095.999999999996</v>
      </c>
      <c r="I41" s="89">
        <f t="shared" si="4"/>
        <v>618.1119999999999</v>
      </c>
    </row>
    <row r="42" spans="1:9" s="3" customFormat="1" ht="12.75" customHeight="1">
      <c r="A42" s="893" t="s">
        <v>1111</v>
      </c>
      <c r="B42" s="894">
        <v>907881.24</v>
      </c>
      <c r="C42" s="894">
        <v>724292.81</v>
      </c>
      <c r="D42" s="89">
        <v>30178.92</v>
      </c>
      <c r="E42" s="894">
        <f t="shared" si="0"/>
        <v>694113.89</v>
      </c>
      <c r="F42" s="209">
        <f t="shared" si="1"/>
        <v>30178.92</v>
      </c>
      <c r="G42" s="209">
        <f t="shared" si="2"/>
        <v>663934.97</v>
      </c>
      <c r="H42" s="209">
        <f t="shared" si="3"/>
        <v>679024.4299999999</v>
      </c>
      <c r="I42" s="89">
        <f t="shared" si="4"/>
        <v>14938.537459999998</v>
      </c>
    </row>
    <row r="43" spans="1:9" s="3" customFormat="1" ht="12.75" customHeight="1">
      <c r="A43" s="893" t="s">
        <v>938</v>
      </c>
      <c r="B43" s="894">
        <v>40001</v>
      </c>
      <c r="C43" s="894">
        <v>36667.6</v>
      </c>
      <c r="D43" s="89">
        <v>5714.4</v>
      </c>
      <c r="E43" s="894">
        <f t="shared" si="0"/>
        <v>30953.199999999997</v>
      </c>
      <c r="F43" s="209">
        <f t="shared" si="1"/>
        <v>5714.4</v>
      </c>
      <c r="G43" s="209">
        <f t="shared" si="2"/>
        <v>25238.799999999996</v>
      </c>
      <c r="H43" s="209">
        <f t="shared" si="3"/>
        <v>28095.999999999996</v>
      </c>
      <c r="I43" s="89">
        <f t="shared" si="4"/>
        <v>618.1119999999999</v>
      </c>
    </row>
    <row r="44" spans="1:9" s="3" customFormat="1" ht="12.75" customHeight="1">
      <c r="A44" s="893" t="s">
        <v>939</v>
      </c>
      <c r="B44" s="894">
        <v>40001</v>
      </c>
      <c r="C44" s="894">
        <v>36667.6</v>
      </c>
      <c r="D44" s="89">
        <v>5714.4</v>
      </c>
      <c r="E44" s="894">
        <f t="shared" si="0"/>
        <v>30953.199999999997</v>
      </c>
      <c r="F44" s="209">
        <f t="shared" si="1"/>
        <v>5714.4</v>
      </c>
      <c r="G44" s="209">
        <f t="shared" si="2"/>
        <v>25238.799999999996</v>
      </c>
      <c r="H44" s="209">
        <f t="shared" si="3"/>
        <v>28095.999999999996</v>
      </c>
      <c r="I44" s="89">
        <f t="shared" si="4"/>
        <v>618.1119999999999</v>
      </c>
    </row>
    <row r="45" spans="1:9" s="3" customFormat="1" ht="12.75" customHeight="1">
      <c r="A45" s="893" t="s">
        <v>940</v>
      </c>
      <c r="B45" s="894">
        <v>40001</v>
      </c>
      <c r="C45" s="894">
        <v>36667.6</v>
      </c>
      <c r="D45" s="89">
        <v>5714.4</v>
      </c>
      <c r="E45" s="894">
        <f t="shared" si="0"/>
        <v>30953.199999999997</v>
      </c>
      <c r="F45" s="209">
        <f t="shared" si="1"/>
        <v>5714.4</v>
      </c>
      <c r="G45" s="209">
        <f t="shared" si="2"/>
        <v>25238.799999999996</v>
      </c>
      <c r="H45" s="209">
        <f t="shared" si="3"/>
        <v>28095.999999999996</v>
      </c>
      <c r="I45" s="89">
        <f t="shared" si="4"/>
        <v>618.1119999999999</v>
      </c>
    </row>
    <row r="46" spans="1:9" s="3" customFormat="1" ht="12.75" customHeight="1">
      <c r="A46" s="893" t="s">
        <v>941</v>
      </c>
      <c r="B46" s="894">
        <v>40001</v>
      </c>
      <c r="C46" s="894">
        <v>36667.6</v>
      </c>
      <c r="D46" s="89">
        <v>5714.4</v>
      </c>
      <c r="E46" s="894">
        <f t="shared" si="0"/>
        <v>30953.199999999997</v>
      </c>
      <c r="F46" s="209">
        <f t="shared" si="1"/>
        <v>5714.4</v>
      </c>
      <c r="G46" s="209">
        <f t="shared" si="2"/>
        <v>25238.799999999996</v>
      </c>
      <c r="H46" s="209">
        <f t="shared" si="3"/>
        <v>28095.999999999996</v>
      </c>
      <c r="I46" s="89">
        <f t="shared" si="4"/>
        <v>618.1119999999999</v>
      </c>
    </row>
    <row r="47" spans="1:9" s="3" customFormat="1" ht="12.75" customHeight="1">
      <c r="A47" s="893" t="s">
        <v>942</v>
      </c>
      <c r="B47" s="894">
        <v>40001</v>
      </c>
      <c r="C47" s="894">
        <v>36667.6</v>
      </c>
      <c r="D47" s="89">
        <v>5714.4</v>
      </c>
      <c r="E47" s="894">
        <f t="shared" si="0"/>
        <v>30953.199999999997</v>
      </c>
      <c r="F47" s="209">
        <f t="shared" si="1"/>
        <v>5714.4</v>
      </c>
      <c r="G47" s="209">
        <f t="shared" si="2"/>
        <v>25238.799999999996</v>
      </c>
      <c r="H47" s="209">
        <f t="shared" si="3"/>
        <v>28095.999999999996</v>
      </c>
      <c r="I47" s="89">
        <f t="shared" si="4"/>
        <v>618.1119999999999</v>
      </c>
    </row>
    <row r="48" spans="1:9" s="3" customFormat="1" ht="12.75" customHeight="1">
      <c r="A48" s="893" t="s">
        <v>943</v>
      </c>
      <c r="B48" s="894">
        <v>40001</v>
      </c>
      <c r="C48" s="894">
        <v>36667.6</v>
      </c>
      <c r="D48" s="89">
        <v>5714.4</v>
      </c>
      <c r="E48" s="894">
        <f t="shared" si="0"/>
        <v>30953.199999999997</v>
      </c>
      <c r="F48" s="209">
        <f t="shared" si="1"/>
        <v>5714.4</v>
      </c>
      <c r="G48" s="209">
        <f t="shared" si="2"/>
        <v>25238.799999999996</v>
      </c>
      <c r="H48" s="209">
        <f t="shared" si="3"/>
        <v>28095.999999999996</v>
      </c>
      <c r="I48" s="89">
        <f t="shared" si="4"/>
        <v>618.1119999999999</v>
      </c>
    </row>
    <row r="49" spans="1:9" s="3" customFormat="1" ht="12.75" customHeight="1">
      <c r="A49" s="893" t="s">
        <v>944</v>
      </c>
      <c r="B49" s="894">
        <v>40001</v>
      </c>
      <c r="C49" s="894">
        <v>36667.6</v>
      </c>
      <c r="D49" s="89">
        <v>5714.4</v>
      </c>
      <c r="E49" s="894">
        <f t="shared" si="0"/>
        <v>30953.199999999997</v>
      </c>
      <c r="F49" s="209">
        <f t="shared" si="1"/>
        <v>5714.4</v>
      </c>
      <c r="G49" s="209">
        <f t="shared" si="2"/>
        <v>25238.799999999996</v>
      </c>
      <c r="H49" s="209">
        <f t="shared" si="3"/>
        <v>28095.999999999996</v>
      </c>
      <c r="I49" s="89">
        <f t="shared" si="4"/>
        <v>618.1119999999999</v>
      </c>
    </row>
    <row r="50" spans="1:9" s="3" customFormat="1" ht="12.75" customHeight="1">
      <c r="A50" s="893" t="s">
        <v>945</v>
      </c>
      <c r="B50" s="894">
        <v>40001</v>
      </c>
      <c r="C50" s="894">
        <v>36667.6</v>
      </c>
      <c r="D50" s="89">
        <v>5714.4</v>
      </c>
      <c r="E50" s="894">
        <f t="shared" si="0"/>
        <v>30953.199999999997</v>
      </c>
      <c r="F50" s="209">
        <f t="shared" si="1"/>
        <v>5714.4</v>
      </c>
      <c r="G50" s="209">
        <f t="shared" si="2"/>
        <v>25238.799999999996</v>
      </c>
      <c r="H50" s="209">
        <f t="shared" si="3"/>
        <v>28095.999999999996</v>
      </c>
      <c r="I50" s="89">
        <f t="shared" si="4"/>
        <v>618.1119999999999</v>
      </c>
    </row>
    <row r="51" spans="1:9" s="3" customFormat="1" ht="12.75" customHeight="1">
      <c r="A51" s="893" t="s">
        <v>946</v>
      </c>
      <c r="B51" s="894">
        <v>40001</v>
      </c>
      <c r="C51" s="894">
        <v>36667.6</v>
      </c>
      <c r="D51" s="89">
        <v>5714.4</v>
      </c>
      <c r="E51" s="894">
        <f t="shared" si="0"/>
        <v>30953.199999999997</v>
      </c>
      <c r="F51" s="209">
        <f t="shared" si="1"/>
        <v>5714.4</v>
      </c>
      <c r="G51" s="209">
        <f t="shared" si="2"/>
        <v>25238.799999999996</v>
      </c>
      <c r="H51" s="209">
        <f t="shared" si="3"/>
        <v>28095.999999999996</v>
      </c>
      <c r="I51" s="89">
        <f t="shared" si="4"/>
        <v>618.1119999999999</v>
      </c>
    </row>
    <row r="52" spans="1:9" s="3" customFormat="1" ht="12.75" customHeight="1">
      <c r="A52" s="893" t="s">
        <v>947</v>
      </c>
      <c r="B52" s="894">
        <v>40001</v>
      </c>
      <c r="C52" s="894">
        <v>36667.6</v>
      </c>
      <c r="D52" s="89">
        <v>5714.4</v>
      </c>
      <c r="E52" s="894">
        <f t="shared" si="0"/>
        <v>30953.199999999997</v>
      </c>
      <c r="F52" s="209">
        <f t="shared" si="1"/>
        <v>5714.4</v>
      </c>
      <c r="G52" s="209">
        <f t="shared" si="2"/>
        <v>25238.799999999996</v>
      </c>
      <c r="H52" s="209">
        <f t="shared" si="3"/>
        <v>28095.999999999996</v>
      </c>
      <c r="I52" s="89">
        <f t="shared" si="4"/>
        <v>618.1119999999999</v>
      </c>
    </row>
    <row r="53" spans="1:9" s="3" customFormat="1" ht="12.75" customHeight="1">
      <c r="A53" s="893" t="s">
        <v>948</v>
      </c>
      <c r="B53" s="894">
        <v>40001</v>
      </c>
      <c r="C53" s="894">
        <v>36667.6</v>
      </c>
      <c r="D53" s="89">
        <v>5714.4</v>
      </c>
      <c r="E53" s="894">
        <f t="shared" si="0"/>
        <v>30953.199999999997</v>
      </c>
      <c r="F53" s="209">
        <f t="shared" si="1"/>
        <v>5714.4</v>
      </c>
      <c r="G53" s="209">
        <f t="shared" si="2"/>
        <v>25238.799999999996</v>
      </c>
      <c r="H53" s="209">
        <f t="shared" si="3"/>
        <v>28095.999999999996</v>
      </c>
      <c r="I53" s="89">
        <f t="shared" si="4"/>
        <v>618.1119999999999</v>
      </c>
    </row>
    <row r="54" spans="1:9" s="3" customFormat="1" ht="12.75" customHeight="1">
      <c r="A54" s="893" t="s">
        <v>949</v>
      </c>
      <c r="B54" s="894">
        <v>40001</v>
      </c>
      <c r="C54" s="894">
        <v>36667.6</v>
      </c>
      <c r="D54" s="89">
        <v>5714.4</v>
      </c>
      <c r="E54" s="894">
        <f t="shared" si="0"/>
        <v>30953.199999999997</v>
      </c>
      <c r="F54" s="209">
        <f t="shared" si="1"/>
        <v>5714.4</v>
      </c>
      <c r="G54" s="209">
        <f t="shared" si="2"/>
        <v>25238.799999999996</v>
      </c>
      <c r="H54" s="209">
        <f t="shared" si="3"/>
        <v>28095.999999999996</v>
      </c>
      <c r="I54" s="89">
        <f t="shared" si="4"/>
        <v>618.1119999999999</v>
      </c>
    </row>
    <row r="55" spans="1:9" s="3" customFormat="1" ht="12.75" customHeight="1">
      <c r="A55" s="893" t="s">
        <v>950</v>
      </c>
      <c r="B55" s="894">
        <v>40001</v>
      </c>
      <c r="C55" s="894">
        <v>36667.6</v>
      </c>
      <c r="D55" s="89">
        <v>5714.4</v>
      </c>
      <c r="E55" s="894">
        <f t="shared" si="0"/>
        <v>30953.199999999997</v>
      </c>
      <c r="F55" s="209">
        <f t="shared" si="1"/>
        <v>5714.4</v>
      </c>
      <c r="G55" s="209">
        <f t="shared" si="2"/>
        <v>25238.799999999996</v>
      </c>
      <c r="H55" s="209">
        <f t="shared" si="3"/>
        <v>28095.999999999996</v>
      </c>
      <c r="I55" s="89">
        <f t="shared" si="4"/>
        <v>618.1119999999999</v>
      </c>
    </row>
    <row r="56" spans="1:9" s="3" customFormat="1" ht="12.75" customHeight="1">
      <c r="A56" s="893" t="s">
        <v>951</v>
      </c>
      <c r="B56" s="894">
        <v>40001</v>
      </c>
      <c r="C56" s="894">
        <v>36667.6</v>
      </c>
      <c r="D56" s="89">
        <v>5714.4</v>
      </c>
      <c r="E56" s="894">
        <f t="shared" si="0"/>
        <v>30953.199999999997</v>
      </c>
      <c r="F56" s="209">
        <f t="shared" si="1"/>
        <v>5714.4</v>
      </c>
      <c r="G56" s="209">
        <f t="shared" si="2"/>
        <v>25238.799999999996</v>
      </c>
      <c r="H56" s="209">
        <f t="shared" si="3"/>
        <v>28095.999999999996</v>
      </c>
      <c r="I56" s="89">
        <f t="shared" si="4"/>
        <v>618.1119999999999</v>
      </c>
    </row>
    <row r="57" spans="1:9" s="3" customFormat="1" ht="12.75" customHeight="1">
      <c r="A57" s="893" t="s">
        <v>952</v>
      </c>
      <c r="B57" s="894">
        <v>40001</v>
      </c>
      <c r="C57" s="894">
        <v>36667.6</v>
      </c>
      <c r="D57" s="89">
        <v>5714.4</v>
      </c>
      <c r="E57" s="894">
        <f t="shared" si="0"/>
        <v>30953.199999999997</v>
      </c>
      <c r="F57" s="209">
        <f t="shared" si="1"/>
        <v>5714.4</v>
      </c>
      <c r="G57" s="209">
        <f t="shared" si="2"/>
        <v>25238.799999999996</v>
      </c>
      <c r="H57" s="209">
        <f t="shared" si="3"/>
        <v>28095.999999999996</v>
      </c>
      <c r="I57" s="89">
        <f t="shared" si="4"/>
        <v>618.1119999999999</v>
      </c>
    </row>
    <row r="58" spans="1:9" s="3" customFormat="1" ht="12.75" customHeight="1">
      <c r="A58" s="893" t="s">
        <v>953</v>
      </c>
      <c r="B58" s="894">
        <v>40001</v>
      </c>
      <c r="C58" s="894">
        <v>36667.6</v>
      </c>
      <c r="D58" s="89">
        <v>5714.4</v>
      </c>
      <c r="E58" s="894">
        <f t="shared" si="0"/>
        <v>30953.199999999997</v>
      </c>
      <c r="F58" s="209">
        <f t="shared" si="1"/>
        <v>5714.4</v>
      </c>
      <c r="G58" s="209">
        <f t="shared" si="2"/>
        <v>25238.799999999996</v>
      </c>
      <c r="H58" s="209">
        <f t="shared" si="3"/>
        <v>28095.999999999996</v>
      </c>
      <c r="I58" s="89">
        <f t="shared" si="4"/>
        <v>618.1119999999999</v>
      </c>
    </row>
    <row r="59" spans="1:9" s="3" customFormat="1" ht="12.75" customHeight="1">
      <c r="A59" s="893" t="s">
        <v>954</v>
      </c>
      <c r="B59" s="894">
        <v>40001</v>
      </c>
      <c r="C59" s="894">
        <v>36667.6</v>
      </c>
      <c r="D59" s="89">
        <v>5714.4</v>
      </c>
      <c r="E59" s="894">
        <f t="shared" si="0"/>
        <v>30953.199999999997</v>
      </c>
      <c r="F59" s="209">
        <f t="shared" si="1"/>
        <v>5714.4</v>
      </c>
      <c r="G59" s="209">
        <f t="shared" si="2"/>
        <v>25238.799999999996</v>
      </c>
      <c r="H59" s="209">
        <f t="shared" si="3"/>
        <v>28095.999999999996</v>
      </c>
      <c r="I59" s="89">
        <f t="shared" si="4"/>
        <v>618.1119999999999</v>
      </c>
    </row>
    <row r="60" spans="1:9" s="3" customFormat="1" ht="12.75" customHeight="1">
      <c r="A60" s="893" t="s">
        <v>955</v>
      </c>
      <c r="B60" s="894">
        <v>40001</v>
      </c>
      <c r="C60" s="894">
        <v>36667.6</v>
      </c>
      <c r="D60" s="89">
        <v>5714.4</v>
      </c>
      <c r="E60" s="894">
        <f t="shared" si="0"/>
        <v>30953.199999999997</v>
      </c>
      <c r="F60" s="209">
        <f t="shared" si="1"/>
        <v>5714.4</v>
      </c>
      <c r="G60" s="209">
        <f t="shared" si="2"/>
        <v>25238.799999999996</v>
      </c>
      <c r="H60" s="209">
        <f t="shared" si="3"/>
        <v>28095.999999999996</v>
      </c>
      <c r="I60" s="89">
        <f t="shared" si="4"/>
        <v>618.1119999999999</v>
      </c>
    </row>
    <row r="61" spans="1:9" s="3" customFormat="1" ht="12.75" customHeight="1">
      <c r="A61" s="893" t="s">
        <v>956</v>
      </c>
      <c r="B61" s="894">
        <v>40001</v>
      </c>
      <c r="C61" s="894">
        <v>36667.6</v>
      </c>
      <c r="D61" s="89">
        <v>5714.4</v>
      </c>
      <c r="E61" s="894">
        <f t="shared" si="0"/>
        <v>30953.199999999997</v>
      </c>
      <c r="F61" s="209">
        <f t="shared" si="1"/>
        <v>5714.4</v>
      </c>
      <c r="G61" s="209">
        <f t="shared" si="2"/>
        <v>25238.799999999996</v>
      </c>
      <c r="H61" s="209">
        <f t="shared" si="3"/>
        <v>28095.999999999996</v>
      </c>
      <c r="I61" s="89">
        <f t="shared" si="4"/>
        <v>618.1119999999999</v>
      </c>
    </row>
    <row r="62" spans="1:9" s="3" customFormat="1" ht="12.75" customHeight="1">
      <c r="A62" s="893" t="s">
        <v>957</v>
      </c>
      <c r="B62" s="894">
        <v>40001</v>
      </c>
      <c r="C62" s="894">
        <v>36667.6</v>
      </c>
      <c r="D62" s="89">
        <v>5714.4</v>
      </c>
      <c r="E62" s="894">
        <f t="shared" si="0"/>
        <v>30953.199999999997</v>
      </c>
      <c r="F62" s="209">
        <f t="shared" si="1"/>
        <v>5714.4</v>
      </c>
      <c r="G62" s="209">
        <f t="shared" si="2"/>
        <v>25238.799999999996</v>
      </c>
      <c r="H62" s="209">
        <f t="shared" si="3"/>
        <v>28095.999999999996</v>
      </c>
      <c r="I62" s="89">
        <f t="shared" si="4"/>
        <v>618.1119999999999</v>
      </c>
    </row>
    <row r="63" spans="1:9" s="3" customFormat="1" ht="12.75" customHeight="1">
      <c r="A63" s="893" t="s">
        <v>958</v>
      </c>
      <c r="B63" s="894">
        <v>40001</v>
      </c>
      <c r="C63" s="894">
        <v>36667.6</v>
      </c>
      <c r="D63" s="89">
        <v>5714.4</v>
      </c>
      <c r="E63" s="894">
        <f t="shared" si="0"/>
        <v>30953.199999999997</v>
      </c>
      <c r="F63" s="209">
        <f t="shared" si="1"/>
        <v>5714.4</v>
      </c>
      <c r="G63" s="209">
        <f t="shared" si="2"/>
        <v>25238.799999999996</v>
      </c>
      <c r="H63" s="209">
        <f t="shared" si="3"/>
        <v>28095.999999999996</v>
      </c>
      <c r="I63" s="89">
        <f t="shared" si="4"/>
        <v>618.1119999999999</v>
      </c>
    </row>
    <row r="64" spans="1:9" s="3" customFormat="1" ht="12.75" customHeight="1">
      <c r="A64" s="893" t="s">
        <v>959</v>
      </c>
      <c r="B64" s="894">
        <v>40001</v>
      </c>
      <c r="C64" s="894">
        <v>36667.6</v>
      </c>
      <c r="D64" s="89">
        <v>5714.4</v>
      </c>
      <c r="E64" s="894">
        <f t="shared" si="0"/>
        <v>30953.199999999997</v>
      </c>
      <c r="F64" s="209">
        <f t="shared" si="1"/>
        <v>5714.4</v>
      </c>
      <c r="G64" s="209">
        <f t="shared" si="2"/>
        <v>25238.799999999996</v>
      </c>
      <c r="H64" s="209">
        <f t="shared" si="3"/>
        <v>28095.999999999996</v>
      </c>
      <c r="I64" s="89">
        <f t="shared" si="4"/>
        <v>618.1119999999999</v>
      </c>
    </row>
    <row r="65" spans="1:9" s="3" customFormat="1" ht="12.75" customHeight="1">
      <c r="A65" s="893" t="s">
        <v>960</v>
      </c>
      <c r="B65" s="894">
        <v>40001</v>
      </c>
      <c r="C65" s="894">
        <v>36667.6</v>
      </c>
      <c r="D65" s="89">
        <v>5714.4</v>
      </c>
      <c r="E65" s="894">
        <f t="shared" si="0"/>
        <v>30953.199999999997</v>
      </c>
      <c r="F65" s="209">
        <f t="shared" si="1"/>
        <v>5714.4</v>
      </c>
      <c r="G65" s="209">
        <f t="shared" si="2"/>
        <v>25238.799999999996</v>
      </c>
      <c r="H65" s="209">
        <f t="shared" si="3"/>
        <v>28095.999999999996</v>
      </c>
      <c r="I65" s="89">
        <f t="shared" si="4"/>
        <v>618.1119999999999</v>
      </c>
    </row>
    <row r="66" spans="1:9" s="3" customFormat="1" ht="12.75" customHeight="1">
      <c r="A66" s="893" t="s">
        <v>961</v>
      </c>
      <c r="B66" s="894">
        <v>40001</v>
      </c>
      <c r="C66" s="894">
        <v>36667.6</v>
      </c>
      <c r="D66" s="89">
        <v>5714.4</v>
      </c>
      <c r="E66" s="894">
        <f t="shared" si="0"/>
        <v>30953.199999999997</v>
      </c>
      <c r="F66" s="209">
        <f t="shared" si="1"/>
        <v>5714.4</v>
      </c>
      <c r="G66" s="209">
        <f t="shared" si="2"/>
        <v>25238.799999999996</v>
      </c>
      <c r="H66" s="209">
        <f t="shared" si="3"/>
        <v>28095.999999999996</v>
      </c>
      <c r="I66" s="89">
        <f t="shared" si="4"/>
        <v>618.1119999999999</v>
      </c>
    </row>
    <row r="67" spans="1:9" s="3" customFormat="1" ht="12.75" customHeight="1">
      <c r="A67" s="893" t="s">
        <v>962</v>
      </c>
      <c r="B67" s="894">
        <v>40001</v>
      </c>
      <c r="C67" s="894">
        <v>36667.6</v>
      </c>
      <c r="D67" s="89">
        <v>5714.4</v>
      </c>
      <c r="E67" s="894">
        <f t="shared" si="0"/>
        <v>30953.199999999997</v>
      </c>
      <c r="F67" s="209">
        <f t="shared" si="1"/>
        <v>5714.4</v>
      </c>
      <c r="G67" s="209">
        <f t="shared" si="2"/>
        <v>25238.799999999996</v>
      </c>
      <c r="H67" s="209">
        <f t="shared" si="3"/>
        <v>28095.999999999996</v>
      </c>
      <c r="I67" s="89">
        <f t="shared" si="4"/>
        <v>618.1119999999999</v>
      </c>
    </row>
    <row r="68" spans="1:9" s="3" customFormat="1" ht="12.75" customHeight="1">
      <c r="A68" s="893" t="s">
        <v>963</v>
      </c>
      <c r="B68" s="894">
        <v>40001</v>
      </c>
      <c r="C68" s="894">
        <v>36667.6</v>
      </c>
      <c r="D68" s="89">
        <v>5714.4</v>
      </c>
      <c r="E68" s="894">
        <f t="shared" si="0"/>
        <v>30953.199999999997</v>
      </c>
      <c r="F68" s="209">
        <f t="shared" si="1"/>
        <v>5714.4</v>
      </c>
      <c r="G68" s="209">
        <f t="shared" si="2"/>
        <v>25238.799999999996</v>
      </c>
      <c r="H68" s="209">
        <f t="shared" si="3"/>
        <v>28095.999999999996</v>
      </c>
      <c r="I68" s="89">
        <f t="shared" si="4"/>
        <v>618.1119999999999</v>
      </c>
    </row>
    <row r="69" spans="1:9" s="3" customFormat="1" ht="12.75" customHeight="1">
      <c r="A69" s="893" t="s">
        <v>964</v>
      </c>
      <c r="B69" s="894">
        <v>40001</v>
      </c>
      <c r="C69" s="894">
        <v>36667.6</v>
      </c>
      <c r="D69" s="89">
        <v>5714.4</v>
      </c>
      <c r="E69" s="894">
        <f t="shared" si="0"/>
        <v>30953.199999999997</v>
      </c>
      <c r="F69" s="209">
        <f t="shared" si="1"/>
        <v>5714.4</v>
      </c>
      <c r="G69" s="209">
        <f t="shared" si="2"/>
        <v>25238.799999999996</v>
      </c>
      <c r="H69" s="209">
        <f t="shared" si="3"/>
        <v>28095.999999999996</v>
      </c>
      <c r="I69" s="89">
        <f t="shared" si="4"/>
        <v>618.1119999999999</v>
      </c>
    </row>
    <row r="70" spans="1:9" s="3" customFormat="1" ht="12.75" customHeight="1">
      <c r="A70" s="893" t="s">
        <v>965</v>
      </c>
      <c r="B70" s="894">
        <v>40001</v>
      </c>
      <c r="C70" s="894">
        <v>36667.6</v>
      </c>
      <c r="D70" s="89">
        <v>5714.4</v>
      </c>
      <c r="E70" s="894">
        <f t="shared" si="0"/>
        <v>30953.199999999997</v>
      </c>
      <c r="F70" s="209">
        <f t="shared" si="1"/>
        <v>5714.4</v>
      </c>
      <c r="G70" s="209">
        <f t="shared" si="2"/>
        <v>25238.799999999996</v>
      </c>
      <c r="H70" s="209">
        <f t="shared" si="3"/>
        <v>28095.999999999996</v>
      </c>
      <c r="I70" s="89">
        <f t="shared" si="4"/>
        <v>618.1119999999999</v>
      </c>
    </row>
    <row r="71" spans="1:9" s="3" customFormat="1" ht="12.75" customHeight="1">
      <c r="A71" s="893" t="s">
        <v>966</v>
      </c>
      <c r="B71" s="894">
        <v>40001</v>
      </c>
      <c r="C71" s="894">
        <v>36667.6</v>
      </c>
      <c r="D71" s="89">
        <v>5714.4</v>
      </c>
      <c r="E71" s="894">
        <f aca="true" t="shared" si="5" ref="E71:E134">C71-D71</f>
        <v>30953.199999999997</v>
      </c>
      <c r="F71" s="209">
        <f aca="true" t="shared" si="6" ref="F71:F134">IF(D71&lt;=E71,D71,E71)</f>
        <v>5714.4</v>
      </c>
      <c r="G71" s="209">
        <f aca="true" t="shared" si="7" ref="G71:G134">E71-F71</f>
        <v>25238.799999999996</v>
      </c>
      <c r="H71" s="209">
        <f aca="true" t="shared" si="8" ref="H71:H134">(E71+G71)/2</f>
        <v>28095.999999999996</v>
      </c>
      <c r="I71" s="89">
        <f aca="true" t="shared" si="9" ref="I71:I134">H71*0.022</f>
        <v>618.1119999999999</v>
      </c>
    </row>
    <row r="72" spans="1:9" s="3" customFormat="1" ht="12.75" customHeight="1">
      <c r="A72" s="893" t="s">
        <v>967</v>
      </c>
      <c r="B72" s="894">
        <v>40001</v>
      </c>
      <c r="C72" s="894">
        <v>36667.6</v>
      </c>
      <c r="D72" s="89">
        <v>5714.4</v>
      </c>
      <c r="E72" s="894">
        <f t="shared" si="5"/>
        <v>30953.199999999997</v>
      </c>
      <c r="F72" s="209">
        <f t="shared" si="6"/>
        <v>5714.4</v>
      </c>
      <c r="G72" s="209">
        <f t="shared" si="7"/>
        <v>25238.799999999996</v>
      </c>
      <c r="H72" s="209">
        <f t="shared" si="8"/>
        <v>28095.999999999996</v>
      </c>
      <c r="I72" s="89">
        <f t="shared" si="9"/>
        <v>618.1119999999999</v>
      </c>
    </row>
    <row r="73" spans="1:9" s="3" customFormat="1" ht="12.75" customHeight="1">
      <c r="A73" s="893" t="s">
        <v>968</v>
      </c>
      <c r="B73" s="894">
        <v>40001</v>
      </c>
      <c r="C73" s="894">
        <v>36667.6</v>
      </c>
      <c r="D73" s="89">
        <v>5714.4</v>
      </c>
      <c r="E73" s="894">
        <f t="shared" si="5"/>
        <v>30953.199999999997</v>
      </c>
      <c r="F73" s="209">
        <f t="shared" si="6"/>
        <v>5714.4</v>
      </c>
      <c r="G73" s="209">
        <f t="shared" si="7"/>
        <v>25238.799999999996</v>
      </c>
      <c r="H73" s="209">
        <f t="shared" si="8"/>
        <v>28095.999999999996</v>
      </c>
      <c r="I73" s="89">
        <f t="shared" si="9"/>
        <v>618.1119999999999</v>
      </c>
    </row>
    <row r="74" spans="1:9" s="3" customFormat="1" ht="12.75" customHeight="1">
      <c r="A74" s="893" t="s">
        <v>969</v>
      </c>
      <c r="B74" s="894">
        <v>40001</v>
      </c>
      <c r="C74" s="894">
        <v>36667.6</v>
      </c>
      <c r="D74" s="89">
        <v>5714.4</v>
      </c>
      <c r="E74" s="894">
        <f t="shared" si="5"/>
        <v>30953.199999999997</v>
      </c>
      <c r="F74" s="209">
        <f t="shared" si="6"/>
        <v>5714.4</v>
      </c>
      <c r="G74" s="209">
        <f t="shared" si="7"/>
        <v>25238.799999999996</v>
      </c>
      <c r="H74" s="209">
        <f t="shared" si="8"/>
        <v>28095.999999999996</v>
      </c>
      <c r="I74" s="89">
        <f t="shared" si="9"/>
        <v>618.1119999999999</v>
      </c>
    </row>
    <row r="75" spans="1:9" s="3" customFormat="1" ht="12.75" customHeight="1">
      <c r="A75" s="893" t="s">
        <v>970</v>
      </c>
      <c r="B75" s="894">
        <v>40001</v>
      </c>
      <c r="C75" s="894">
        <v>36667.6</v>
      </c>
      <c r="D75" s="89">
        <v>5714.4</v>
      </c>
      <c r="E75" s="894">
        <f t="shared" si="5"/>
        <v>30953.199999999997</v>
      </c>
      <c r="F75" s="209">
        <f t="shared" si="6"/>
        <v>5714.4</v>
      </c>
      <c r="G75" s="209">
        <f t="shared" si="7"/>
        <v>25238.799999999996</v>
      </c>
      <c r="H75" s="209">
        <f t="shared" si="8"/>
        <v>28095.999999999996</v>
      </c>
      <c r="I75" s="89">
        <f t="shared" si="9"/>
        <v>618.1119999999999</v>
      </c>
    </row>
    <row r="76" spans="1:9" s="3" customFormat="1" ht="12.75" customHeight="1">
      <c r="A76" s="893" t="s">
        <v>971</v>
      </c>
      <c r="B76" s="894">
        <v>40001</v>
      </c>
      <c r="C76" s="894">
        <v>36667.6</v>
      </c>
      <c r="D76" s="89">
        <v>5714.4</v>
      </c>
      <c r="E76" s="894">
        <f t="shared" si="5"/>
        <v>30953.199999999997</v>
      </c>
      <c r="F76" s="209">
        <f t="shared" si="6"/>
        <v>5714.4</v>
      </c>
      <c r="G76" s="209">
        <f t="shared" si="7"/>
        <v>25238.799999999996</v>
      </c>
      <c r="H76" s="209">
        <f t="shared" si="8"/>
        <v>28095.999999999996</v>
      </c>
      <c r="I76" s="89">
        <f t="shared" si="9"/>
        <v>618.1119999999999</v>
      </c>
    </row>
    <row r="77" spans="1:9" s="3" customFormat="1" ht="12.75" customHeight="1">
      <c r="A77" s="893" t="s">
        <v>972</v>
      </c>
      <c r="B77" s="894">
        <v>40001</v>
      </c>
      <c r="C77" s="894">
        <v>36667.6</v>
      </c>
      <c r="D77" s="89">
        <v>5714.4</v>
      </c>
      <c r="E77" s="894">
        <f t="shared" si="5"/>
        <v>30953.199999999997</v>
      </c>
      <c r="F77" s="209">
        <f t="shared" si="6"/>
        <v>5714.4</v>
      </c>
      <c r="G77" s="209">
        <f t="shared" si="7"/>
        <v>25238.799999999996</v>
      </c>
      <c r="H77" s="209">
        <f t="shared" si="8"/>
        <v>28095.999999999996</v>
      </c>
      <c r="I77" s="89">
        <f t="shared" si="9"/>
        <v>618.1119999999999</v>
      </c>
    </row>
    <row r="78" spans="1:9" s="3" customFormat="1" ht="12.75" customHeight="1">
      <c r="A78" s="893" t="s">
        <v>973</v>
      </c>
      <c r="B78" s="894">
        <v>40001</v>
      </c>
      <c r="C78" s="894">
        <v>36667.6</v>
      </c>
      <c r="D78" s="89">
        <v>5714.4</v>
      </c>
      <c r="E78" s="894">
        <f t="shared" si="5"/>
        <v>30953.199999999997</v>
      </c>
      <c r="F78" s="209">
        <f t="shared" si="6"/>
        <v>5714.4</v>
      </c>
      <c r="G78" s="209">
        <f t="shared" si="7"/>
        <v>25238.799999999996</v>
      </c>
      <c r="H78" s="209">
        <f t="shared" si="8"/>
        <v>28095.999999999996</v>
      </c>
      <c r="I78" s="89">
        <f t="shared" si="9"/>
        <v>618.1119999999999</v>
      </c>
    </row>
    <row r="79" spans="1:9" s="3" customFormat="1" ht="12.75" customHeight="1">
      <c r="A79" s="893" t="s">
        <v>974</v>
      </c>
      <c r="B79" s="894">
        <v>40001</v>
      </c>
      <c r="C79" s="894">
        <v>36667.6</v>
      </c>
      <c r="D79" s="89">
        <v>5714.4</v>
      </c>
      <c r="E79" s="894">
        <f t="shared" si="5"/>
        <v>30953.199999999997</v>
      </c>
      <c r="F79" s="209">
        <f t="shared" si="6"/>
        <v>5714.4</v>
      </c>
      <c r="G79" s="209">
        <f t="shared" si="7"/>
        <v>25238.799999999996</v>
      </c>
      <c r="H79" s="209">
        <f t="shared" si="8"/>
        <v>28095.999999999996</v>
      </c>
      <c r="I79" s="89">
        <f t="shared" si="9"/>
        <v>618.1119999999999</v>
      </c>
    </row>
    <row r="80" spans="1:9" s="3" customFormat="1" ht="12.75" customHeight="1">
      <c r="A80" s="893" t="s">
        <v>975</v>
      </c>
      <c r="B80" s="894">
        <v>40001</v>
      </c>
      <c r="C80" s="894">
        <v>36667.6</v>
      </c>
      <c r="D80" s="89">
        <v>5714.4</v>
      </c>
      <c r="E80" s="894">
        <f t="shared" si="5"/>
        <v>30953.199999999997</v>
      </c>
      <c r="F80" s="209">
        <f t="shared" si="6"/>
        <v>5714.4</v>
      </c>
      <c r="G80" s="209">
        <f t="shared" si="7"/>
        <v>25238.799999999996</v>
      </c>
      <c r="H80" s="209">
        <f t="shared" si="8"/>
        <v>28095.999999999996</v>
      </c>
      <c r="I80" s="89">
        <f t="shared" si="9"/>
        <v>618.1119999999999</v>
      </c>
    </row>
    <row r="81" spans="1:9" s="3" customFormat="1" ht="12.75" customHeight="1">
      <c r="A81" s="893" t="s">
        <v>976</v>
      </c>
      <c r="B81" s="894">
        <v>40001</v>
      </c>
      <c r="C81" s="894">
        <v>36667.6</v>
      </c>
      <c r="D81" s="89">
        <v>5714.4</v>
      </c>
      <c r="E81" s="894">
        <f t="shared" si="5"/>
        <v>30953.199999999997</v>
      </c>
      <c r="F81" s="209">
        <f t="shared" si="6"/>
        <v>5714.4</v>
      </c>
      <c r="G81" s="209">
        <f t="shared" si="7"/>
        <v>25238.799999999996</v>
      </c>
      <c r="H81" s="209">
        <f t="shared" si="8"/>
        <v>28095.999999999996</v>
      </c>
      <c r="I81" s="89">
        <f t="shared" si="9"/>
        <v>618.1119999999999</v>
      </c>
    </row>
    <row r="82" spans="1:9" s="3" customFormat="1" ht="12.75" customHeight="1">
      <c r="A82" s="893" t="s">
        <v>977</v>
      </c>
      <c r="B82" s="894">
        <v>40001</v>
      </c>
      <c r="C82" s="894">
        <v>36667.6</v>
      </c>
      <c r="D82" s="89">
        <v>5714.4</v>
      </c>
      <c r="E82" s="894">
        <f t="shared" si="5"/>
        <v>30953.199999999997</v>
      </c>
      <c r="F82" s="209">
        <f t="shared" si="6"/>
        <v>5714.4</v>
      </c>
      <c r="G82" s="209">
        <f t="shared" si="7"/>
        <v>25238.799999999996</v>
      </c>
      <c r="H82" s="209">
        <f t="shared" si="8"/>
        <v>28095.999999999996</v>
      </c>
      <c r="I82" s="89">
        <f t="shared" si="9"/>
        <v>618.1119999999999</v>
      </c>
    </row>
    <row r="83" spans="1:9" s="3" customFormat="1" ht="12.75" customHeight="1">
      <c r="A83" s="893" t="s">
        <v>978</v>
      </c>
      <c r="B83" s="894">
        <v>40001</v>
      </c>
      <c r="C83" s="894">
        <v>36667.6</v>
      </c>
      <c r="D83" s="89">
        <v>5714.4</v>
      </c>
      <c r="E83" s="894">
        <f t="shared" si="5"/>
        <v>30953.199999999997</v>
      </c>
      <c r="F83" s="209">
        <f t="shared" si="6"/>
        <v>5714.4</v>
      </c>
      <c r="G83" s="209">
        <f t="shared" si="7"/>
        <v>25238.799999999996</v>
      </c>
      <c r="H83" s="209">
        <f t="shared" si="8"/>
        <v>28095.999999999996</v>
      </c>
      <c r="I83" s="89">
        <f t="shared" si="9"/>
        <v>618.1119999999999</v>
      </c>
    </row>
    <row r="84" spans="1:9" s="3" customFormat="1" ht="12.75" customHeight="1">
      <c r="A84" s="893" t="s">
        <v>979</v>
      </c>
      <c r="B84" s="894">
        <v>40001</v>
      </c>
      <c r="C84" s="894">
        <v>36667.6</v>
      </c>
      <c r="D84" s="89">
        <v>5714.4</v>
      </c>
      <c r="E84" s="894">
        <f t="shared" si="5"/>
        <v>30953.199999999997</v>
      </c>
      <c r="F84" s="209">
        <f t="shared" si="6"/>
        <v>5714.4</v>
      </c>
      <c r="G84" s="209">
        <f t="shared" si="7"/>
        <v>25238.799999999996</v>
      </c>
      <c r="H84" s="209">
        <f t="shared" si="8"/>
        <v>28095.999999999996</v>
      </c>
      <c r="I84" s="89">
        <f t="shared" si="9"/>
        <v>618.1119999999999</v>
      </c>
    </row>
    <row r="85" spans="1:9" s="3" customFormat="1" ht="12.75" customHeight="1">
      <c r="A85" s="893" t="s">
        <v>980</v>
      </c>
      <c r="B85" s="894">
        <v>40001</v>
      </c>
      <c r="C85" s="894">
        <v>36667.6</v>
      </c>
      <c r="D85" s="89">
        <v>5714.4</v>
      </c>
      <c r="E85" s="894">
        <f t="shared" si="5"/>
        <v>30953.199999999997</v>
      </c>
      <c r="F85" s="209">
        <f t="shared" si="6"/>
        <v>5714.4</v>
      </c>
      <c r="G85" s="209">
        <f t="shared" si="7"/>
        <v>25238.799999999996</v>
      </c>
      <c r="H85" s="209">
        <f t="shared" si="8"/>
        <v>28095.999999999996</v>
      </c>
      <c r="I85" s="89">
        <f t="shared" si="9"/>
        <v>618.1119999999999</v>
      </c>
    </row>
    <row r="86" spans="1:9" s="3" customFormat="1" ht="12.75" customHeight="1">
      <c r="A86" s="893" t="s">
        <v>1112</v>
      </c>
      <c r="B86" s="894">
        <v>40001</v>
      </c>
      <c r="C86" s="894">
        <v>35067.42</v>
      </c>
      <c r="D86" s="89">
        <v>1600.08</v>
      </c>
      <c r="E86" s="894">
        <f t="shared" si="5"/>
        <v>33467.34</v>
      </c>
      <c r="F86" s="209">
        <f t="shared" si="6"/>
        <v>1600.08</v>
      </c>
      <c r="G86" s="209">
        <f t="shared" si="7"/>
        <v>31867.259999999995</v>
      </c>
      <c r="H86" s="209">
        <f t="shared" si="8"/>
        <v>32667.299999999996</v>
      </c>
      <c r="I86" s="89">
        <f t="shared" si="9"/>
        <v>718.6805999999999</v>
      </c>
    </row>
    <row r="87" spans="1:9" s="3" customFormat="1" ht="12.75" customHeight="1">
      <c r="A87" s="893" t="s">
        <v>1113</v>
      </c>
      <c r="B87" s="894">
        <v>40001</v>
      </c>
      <c r="C87" s="894">
        <v>35067.42</v>
      </c>
      <c r="D87" s="89">
        <v>1600.08</v>
      </c>
      <c r="E87" s="894">
        <f t="shared" si="5"/>
        <v>33467.34</v>
      </c>
      <c r="F87" s="209">
        <f t="shared" si="6"/>
        <v>1600.08</v>
      </c>
      <c r="G87" s="209">
        <f t="shared" si="7"/>
        <v>31867.259999999995</v>
      </c>
      <c r="H87" s="209">
        <f t="shared" si="8"/>
        <v>32667.299999999996</v>
      </c>
      <c r="I87" s="89">
        <f t="shared" si="9"/>
        <v>718.6805999999999</v>
      </c>
    </row>
    <row r="88" spans="1:9" s="3" customFormat="1" ht="12.75" customHeight="1">
      <c r="A88" s="893" t="s">
        <v>1114</v>
      </c>
      <c r="B88" s="894">
        <v>40001</v>
      </c>
      <c r="C88" s="894">
        <v>35067.42</v>
      </c>
      <c r="D88" s="89">
        <v>1600.08</v>
      </c>
      <c r="E88" s="894">
        <f t="shared" si="5"/>
        <v>33467.34</v>
      </c>
      <c r="F88" s="209">
        <f t="shared" si="6"/>
        <v>1600.08</v>
      </c>
      <c r="G88" s="209">
        <f t="shared" si="7"/>
        <v>31867.259999999995</v>
      </c>
      <c r="H88" s="209">
        <f t="shared" si="8"/>
        <v>32667.299999999996</v>
      </c>
      <c r="I88" s="89">
        <f t="shared" si="9"/>
        <v>718.6805999999999</v>
      </c>
    </row>
    <row r="89" spans="1:9" s="3" customFormat="1" ht="12.75" customHeight="1">
      <c r="A89" s="893" t="s">
        <v>1115</v>
      </c>
      <c r="B89" s="894">
        <v>40001</v>
      </c>
      <c r="C89" s="894">
        <v>35067.42</v>
      </c>
      <c r="D89" s="89">
        <v>1600.08</v>
      </c>
      <c r="E89" s="894">
        <f t="shared" si="5"/>
        <v>33467.34</v>
      </c>
      <c r="F89" s="209">
        <f t="shared" si="6"/>
        <v>1600.08</v>
      </c>
      <c r="G89" s="209">
        <f t="shared" si="7"/>
        <v>31867.259999999995</v>
      </c>
      <c r="H89" s="209">
        <f t="shared" si="8"/>
        <v>32667.299999999996</v>
      </c>
      <c r="I89" s="89">
        <f t="shared" si="9"/>
        <v>718.6805999999999</v>
      </c>
    </row>
    <row r="90" spans="1:9" s="3" customFormat="1" ht="12.75" customHeight="1">
      <c r="A90" s="893" t="s">
        <v>1116</v>
      </c>
      <c r="B90" s="894">
        <v>40001</v>
      </c>
      <c r="C90" s="894">
        <v>35067.42</v>
      </c>
      <c r="D90" s="89">
        <v>1600.08</v>
      </c>
      <c r="E90" s="894">
        <f t="shared" si="5"/>
        <v>33467.34</v>
      </c>
      <c r="F90" s="209">
        <f t="shared" si="6"/>
        <v>1600.08</v>
      </c>
      <c r="G90" s="209">
        <f t="shared" si="7"/>
        <v>31867.259999999995</v>
      </c>
      <c r="H90" s="209">
        <f t="shared" si="8"/>
        <v>32667.299999999996</v>
      </c>
      <c r="I90" s="89">
        <f t="shared" si="9"/>
        <v>718.6805999999999</v>
      </c>
    </row>
    <row r="91" spans="1:9" s="3" customFormat="1" ht="12.75" customHeight="1">
      <c r="A91" s="893" t="s">
        <v>1117</v>
      </c>
      <c r="B91" s="894">
        <v>40001</v>
      </c>
      <c r="C91" s="894">
        <v>35067.42</v>
      </c>
      <c r="D91" s="89">
        <v>1600.08</v>
      </c>
      <c r="E91" s="894">
        <f t="shared" si="5"/>
        <v>33467.34</v>
      </c>
      <c r="F91" s="209">
        <f t="shared" si="6"/>
        <v>1600.08</v>
      </c>
      <c r="G91" s="209">
        <f t="shared" si="7"/>
        <v>31867.259999999995</v>
      </c>
      <c r="H91" s="209">
        <f t="shared" si="8"/>
        <v>32667.299999999996</v>
      </c>
      <c r="I91" s="89">
        <f t="shared" si="9"/>
        <v>718.6805999999999</v>
      </c>
    </row>
    <row r="92" spans="1:9" s="3" customFormat="1" ht="12.75" customHeight="1">
      <c r="A92" s="893" t="s">
        <v>1118</v>
      </c>
      <c r="B92" s="894">
        <v>40001</v>
      </c>
      <c r="C92" s="894">
        <v>33810.4</v>
      </c>
      <c r="D92" s="89">
        <v>5714.4</v>
      </c>
      <c r="E92" s="894">
        <f t="shared" si="5"/>
        <v>28096</v>
      </c>
      <c r="F92" s="209">
        <f t="shared" si="6"/>
        <v>5714.4</v>
      </c>
      <c r="G92" s="209">
        <f t="shared" si="7"/>
        <v>22381.6</v>
      </c>
      <c r="H92" s="209">
        <f t="shared" si="8"/>
        <v>25238.8</v>
      </c>
      <c r="I92" s="89">
        <f t="shared" si="9"/>
        <v>555.2536</v>
      </c>
    </row>
    <row r="93" spans="1:9" s="3" customFormat="1" ht="12.75" customHeight="1">
      <c r="A93" s="893" t="s">
        <v>1119</v>
      </c>
      <c r="B93" s="894">
        <v>40001</v>
      </c>
      <c r="C93" s="894">
        <v>35067.42</v>
      </c>
      <c r="D93" s="89">
        <v>1600.08</v>
      </c>
      <c r="E93" s="894">
        <f t="shared" si="5"/>
        <v>33467.34</v>
      </c>
      <c r="F93" s="209">
        <f t="shared" si="6"/>
        <v>1600.08</v>
      </c>
      <c r="G93" s="209">
        <f t="shared" si="7"/>
        <v>31867.259999999995</v>
      </c>
      <c r="H93" s="209">
        <f t="shared" si="8"/>
        <v>32667.299999999996</v>
      </c>
      <c r="I93" s="89">
        <f t="shared" si="9"/>
        <v>718.6805999999999</v>
      </c>
    </row>
    <row r="94" spans="1:9" s="3" customFormat="1" ht="12.75" customHeight="1">
      <c r="A94" s="893" t="s">
        <v>1120</v>
      </c>
      <c r="B94" s="894">
        <v>40001</v>
      </c>
      <c r="C94" s="894">
        <v>35067.42</v>
      </c>
      <c r="D94" s="89">
        <v>1600.08</v>
      </c>
      <c r="E94" s="894">
        <f t="shared" si="5"/>
        <v>33467.34</v>
      </c>
      <c r="F94" s="209">
        <f t="shared" si="6"/>
        <v>1600.08</v>
      </c>
      <c r="G94" s="209">
        <f t="shared" si="7"/>
        <v>31867.259999999995</v>
      </c>
      <c r="H94" s="209">
        <f t="shared" si="8"/>
        <v>32667.299999999996</v>
      </c>
      <c r="I94" s="89">
        <f t="shared" si="9"/>
        <v>718.6805999999999</v>
      </c>
    </row>
    <row r="95" spans="1:9" s="3" customFormat="1" ht="12.75" customHeight="1">
      <c r="A95" s="893" t="s">
        <v>1121</v>
      </c>
      <c r="B95" s="894">
        <v>83696.38</v>
      </c>
      <c r="C95" s="894">
        <v>69746.92</v>
      </c>
      <c r="D95" s="89">
        <v>11956.68</v>
      </c>
      <c r="E95" s="894">
        <f t="shared" si="5"/>
        <v>57790.24</v>
      </c>
      <c r="F95" s="209">
        <f t="shared" si="6"/>
        <v>11956.68</v>
      </c>
      <c r="G95" s="209">
        <f t="shared" si="7"/>
        <v>45833.56</v>
      </c>
      <c r="H95" s="209">
        <f t="shared" si="8"/>
        <v>51811.899999999994</v>
      </c>
      <c r="I95" s="89">
        <f t="shared" si="9"/>
        <v>1139.8618</v>
      </c>
    </row>
    <row r="96" spans="1:9" s="3" customFormat="1" ht="12.75" customHeight="1">
      <c r="A96" s="893" t="s">
        <v>981</v>
      </c>
      <c r="B96" s="894">
        <v>40001</v>
      </c>
      <c r="C96" s="894">
        <v>36667.6</v>
      </c>
      <c r="D96" s="89">
        <v>5714.4</v>
      </c>
      <c r="E96" s="894">
        <f t="shared" si="5"/>
        <v>30953.199999999997</v>
      </c>
      <c r="F96" s="209">
        <f t="shared" si="6"/>
        <v>5714.4</v>
      </c>
      <c r="G96" s="209">
        <f t="shared" si="7"/>
        <v>25238.799999999996</v>
      </c>
      <c r="H96" s="209">
        <f t="shared" si="8"/>
        <v>28095.999999999996</v>
      </c>
      <c r="I96" s="89">
        <f t="shared" si="9"/>
        <v>618.1119999999999</v>
      </c>
    </row>
    <row r="97" spans="1:9" s="3" customFormat="1" ht="12.75" customHeight="1">
      <c r="A97" s="893" t="s">
        <v>982</v>
      </c>
      <c r="B97" s="894">
        <v>40001</v>
      </c>
      <c r="C97" s="894">
        <v>36667.6</v>
      </c>
      <c r="D97" s="89">
        <v>5714.4</v>
      </c>
      <c r="E97" s="894">
        <f t="shared" si="5"/>
        <v>30953.199999999997</v>
      </c>
      <c r="F97" s="209">
        <f t="shared" si="6"/>
        <v>5714.4</v>
      </c>
      <c r="G97" s="209">
        <f t="shared" si="7"/>
        <v>25238.799999999996</v>
      </c>
      <c r="H97" s="209">
        <f t="shared" si="8"/>
        <v>28095.999999999996</v>
      </c>
      <c r="I97" s="89">
        <f t="shared" si="9"/>
        <v>618.1119999999999</v>
      </c>
    </row>
    <row r="98" spans="1:9" s="3" customFormat="1" ht="12.75" customHeight="1">
      <c r="A98" s="893" t="s">
        <v>983</v>
      </c>
      <c r="B98" s="894">
        <v>40001</v>
      </c>
      <c r="C98" s="894">
        <v>36667.6</v>
      </c>
      <c r="D98" s="89">
        <v>5714.4</v>
      </c>
      <c r="E98" s="894">
        <f t="shared" si="5"/>
        <v>30953.199999999997</v>
      </c>
      <c r="F98" s="209">
        <f t="shared" si="6"/>
        <v>5714.4</v>
      </c>
      <c r="G98" s="209">
        <f t="shared" si="7"/>
        <v>25238.799999999996</v>
      </c>
      <c r="H98" s="209">
        <f t="shared" si="8"/>
        <v>28095.999999999996</v>
      </c>
      <c r="I98" s="89">
        <f t="shared" si="9"/>
        <v>618.1119999999999</v>
      </c>
    </row>
    <row r="99" spans="1:9" s="3" customFormat="1" ht="12.75" customHeight="1">
      <c r="A99" s="893" t="s">
        <v>984</v>
      </c>
      <c r="B99" s="894">
        <v>40001</v>
      </c>
      <c r="C99" s="894">
        <v>36667.6</v>
      </c>
      <c r="D99" s="89">
        <v>5714.4</v>
      </c>
      <c r="E99" s="894">
        <f t="shared" si="5"/>
        <v>30953.199999999997</v>
      </c>
      <c r="F99" s="209">
        <f t="shared" si="6"/>
        <v>5714.4</v>
      </c>
      <c r="G99" s="209">
        <f t="shared" si="7"/>
        <v>25238.799999999996</v>
      </c>
      <c r="H99" s="209">
        <f t="shared" si="8"/>
        <v>28095.999999999996</v>
      </c>
      <c r="I99" s="89">
        <f t="shared" si="9"/>
        <v>618.1119999999999</v>
      </c>
    </row>
    <row r="100" spans="1:9" s="3" customFormat="1" ht="12.75" customHeight="1">
      <c r="A100" s="893" t="s">
        <v>985</v>
      </c>
      <c r="B100" s="894">
        <v>40001</v>
      </c>
      <c r="C100" s="894">
        <v>36667.6</v>
      </c>
      <c r="D100" s="89">
        <v>5714.4</v>
      </c>
      <c r="E100" s="894">
        <f t="shared" si="5"/>
        <v>30953.199999999997</v>
      </c>
      <c r="F100" s="209">
        <f t="shared" si="6"/>
        <v>5714.4</v>
      </c>
      <c r="G100" s="209">
        <f t="shared" si="7"/>
        <v>25238.799999999996</v>
      </c>
      <c r="H100" s="209">
        <f t="shared" si="8"/>
        <v>28095.999999999996</v>
      </c>
      <c r="I100" s="89">
        <f t="shared" si="9"/>
        <v>618.1119999999999</v>
      </c>
    </row>
    <row r="101" spans="1:9" s="3" customFormat="1" ht="12.75" customHeight="1">
      <c r="A101" s="893" t="s">
        <v>986</v>
      </c>
      <c r="B101" s="894">
        <v>40001</v>
      </c>
      <c r="C101" s="894">
        <v>36667.6</v>
      </c>
      <c r="D101" s="89">
        <v>5714.4</v>
      </c>
      <c r="E101" s="894">
        <f t="shared" si="5"/>
        <v>30953.199999999997</v>
      </c>
      <c r="F101" s="209">
        <f t="shared" si="6"/>
        <v>5714.4</v>
      </c>
      <c r="G101" s="209">
        <f t="shared" si="7"/>
        <v>25238.799999999996</v>
      </c>
      <c r="H101" s="209">
        <f t="shared" si="8"/>
        <v>28095.999999999996</v>
      </c>
      <c r="I101" s="89">
        <f t="shared" si="9"/>
        <v>618.1119999999999</v>
      </c>
    </row>
    <row r="102" spans="1:9" s="3" customFormat="1" ht="12.75" customHeight="1">
      <c r="A102" s="893" t="s">
        <v>987</v>
      </c>
      <c r="B102" s="894">
        <v>40001</v>
      </c>
      <c r="C102" s="894">
        <v>36667.6</v>
      </c>
      <c r="D102" s="89">
        <v>5714.4</v>
      </c>
      <c r="E102" s="894">
        <f t="shared" si="5"/>
        <v>30953.199999999997</v>
      </c>
      <c r="F102" s="209">
        <f t="shared" si="6"/>
        <v>5714.4</v>
      </c>
      <c r="G102" s="209">
        <f t="shared" si="7"/>
        <v>25238.799999999996</v>
      </c>
      <c r="H102" s="209">
        <f t="shared" si="8"/>
        <v>28095.999999999996</v>
      </c>
      <c r="I102" s="89">
        <f t="shared" si="9"/>
        <v>618.1119999999999</v>
      </c>
    </row>
    <row r="103" spans="1:9" s="3" customFormat="1" ht="12.75" customHeight="1">
      <c r="A103" s="893" t="s">
        <v>988</v>
      </c>
      <c r="B103" s="894">
        <v>40001</v>
      </c>
      <c r="C103" s="894">
        <v>36667.6</v>
      </c>
      <c r="D103" s="89">
        <v>5714.4</v>
      </c>
      <c r="E103" s="894">
        <f t="shared" si="5"/>
        <v>30953.199999999997</v>
      </c>
      <c r="F103" s="209">
        <f t="shared" si="6"/>
        <v>5714.4</v>
      </c>
      <c r="G103" s="209">
        <f t="shared" si="7"/>
        <v>25238.799999999996</v>
      </c>
      <c r="H103" s="209">
        <f t="shared" si="8"/>
        <v>28095.999999999996</v>
      </c>
      <c r="I103" s="89">
        <f t="shared" si="9"/>
        <v>618.1119999999999</v>
      </c>
    </row>
    <row r="104" spans="1:9" s="3" customFormat="1" ht="12.75" customHeight="1">
      <c r="A104" s="893" t="s">
        <v>989</v>
      </c>
      <c r="B104" s="894">
        <v>40001</v>
      </c>
      <c r="C104" s="894">
        <v>36667.6</v>
      </c>
      <c r="D104" s="89">
        <v>5714.4</v>
      </c>
      <c r="E104" s="894">
        <f t="shared" si="5"/>
        <v>30953.199999999997</v>
      </c>
      <c r="F104" s="209">
        <f t="shared" si="6"/>
        <v>5714.4</v>
      </c>
      <c r="G104" s="209">
        <f t="shared" si="7"/>
        <v>25238.799999999996</v>
      </c>
      <c r="H104" s="209">
        <f t="shared" si="8"/>
        <v>28095.999999999996</v>
      </c>
      <c r="I104" s="89">
        <f t="shared" si="9"/>
        <v>618.1119999999999</v>
      </c>
    </row>
    <row r="105" spans="1:9" s="3" customFormat="1" ht="12.75" customHeight="1">
      <c r="A105" s="893" t="s">
        <v>990</v>
      </c>
      <c r="B105" s="894">
        <v>40001</v>
      </c>
      <c r="C105" s="894">
        <v>36667.6</v>
      </c>
      <c r="D105" s="89">
        <v>5714.4</v>
      </c>
      <c r="E105" s="894">
        <f t="shared" si="5"/>
        <v>30953.199999999997</v>
      </c>
      <c r="F105" s="209">
        <f t="shared" si="6"/>
        <v>5714.4</v>
      </c>
      <c r="G105" s="209">
        <f t="shared" si="7"/>
        <v>25238.799999999996</v>
      </c>
      <c r="H105" s="209">
        <f t="shared" si="8"/>
        <v>28095.999999999996</v>
      </c>
      <c r="I105" s="89">
        <f t="shared" si="9"/>
        <v>618.1119999999999</v>
      </c>
    </row>
    <row r="106" spans="1:9" s="3" customFormat="1" ht="12.75" customHeight="1">
      <c r="A106" s="893" t="s">
        <v>991</v>
      </c>
      <c r="B106" s="894">
        <v>40001</v>
      </c>
      <c r="C106" s="894">
        <v>36667.6</v>
      </c>
      <c r="D106" s="89">
        <v>5714.4</v>
      </c>
      <c r="E106" s="894">
        <f t="shared" si="5"/>
        <v>30953.199999999997</v>
      </c>
      <c r="F106" s="209">
        <f t="shared" si="6"/>
        <v>5714.4</v>
      </c>
      <c r="G106" s="209">
        <f t="shared" si="7"/>
        <v>25238.799999999996</v>
      </c>
      <c r="H106" s="209">
        <f t="shared" si="8"/>
        <v>28095.999999999996</v>
      </c>
      <c r="I106" s="89">
        <f t="shared" si="9"/>
        <v>618.1119999999999</v>
      </c>
    </row>
    <row r="107" spans="1:9" s="3" customFormat="1" ht="12.75" customHeight="1">
      <c r="A107" s="893" t="s">
        <v>992</v>
      </c>
      <c r="B107" s="894">
        <v>40001</v>
      </c>
      <c r="C107" s="894">
        <v>36667.6</v>
      </c>
      <c r="D107" s="89">
        <v>5714.4</v>
      </c>
      <c r="E107" s="894">
        <f t="shared" si="5"/>
        <v>30953.199999999997</v>
      </c>
      <c r="F107" s="209">
        <f t="shared" si="6"/>
        <v>5714.4</v>
      </c>
      <c r="G107" s="209">
        <f t="shared" si="7"/>
        <v>25238.799999999996</v>
      </c>
      <c r="H107" s="209">
        <f t="shared" si="8"/>
        <v>28095.999999999996</v>
      </c>
      <c r="I107" s="89">
        <f t="shared" si="9"/>
        <v>618.1119999999999</v>
      </c>
    </row>
    <row r="108" spans="1:9" s="3" customFormat="1" ht="12.75" customHeight="1">
      <c r="A108" s="893" t="s">
        <v>993</v>
      </c>
      <c r="B108" s="894">
        <v>40001</v>
      </c>
      <c r="C108" s="894">
        <v>36667.6</v>
      </c>
      <c r="D108" s="89">
        <v>5714.4</v>
      </c>
      <c r="E108" s="894">
        <f t="shared" si="5"/>
        <v>30953.199999999997</v>
      </c>
      <c r="F108" s="209">
        <f t="shared" si="6"/>
        <v>5714.4</v>
      </c>
      <c r="G108" s="209">
        <f t="shared" si="7"/>
        <v>25238.799999999996</v>
      </c>
      <c r="H108" s="209">
        <f t="shared" si="8"/>
        <v>28095.999999999996</v>
      </c>
      <c r="I108" s="89">
        <f t="shared" si="9"/>
        <v>618.1119999999999</v>
      </c>
    </row>
    <row r="109" spans="1:9" s="3" customFormat="1" ht="12.75" customHeight="1">
      <c r="A109" s="893" t="s">
        <v>994</v>
      </c>
      <c r="B109" s="894">
        <v>40001</v>
      </c>
      <c r="C109" s="894">
        <v>36667.6</v>
      </c>
      <c r="D109" s="89">
        <v>5714.4</v>
      </c>
      <c r="E109" s="894">
        <f t="shared" si="5"/>
        <v>30953.199999999997</v>
      </c>
      <c r="F109" s="209">
        <f t="shared" si="6"/>
        <v>5714.4</v>
      </c>
      <c r="G109" s="209">
        <f t="shared" si="7"/>
        <v>25238.799999999996</v>
      </c>
      <c r="H109" s="209">
        <f t="shared" si="8"/>
        <v>28095.999999999996</v>
      </c>
      <c r="I109" s="89">
        <f t="shared" si="9"/>
        <v>618.1119999999999</v>
      </c>
    </row>
    <row r="110" spans="1:9" s="3" customFormat="1" ht="12.75" customHeight="1">
      <c r="A110" s="893" t="s">
        <v>995</v>
      </c>
      <c r="B110" s="894">
        <v>40001</v>
      </c>
      <c r="C110" s="894">
        <v>36667.6</v>
      </c>
      <c r="D110" s="89">
        <v>5714.4</v>
      </c>
      <c r="E110" s="894">
        <f t="shared" si="5"/>
        <v>30953.199999999997</v>
      </c>
      <c r="F110" s="209">
        <f t="shared" si="6"/>
        <v>5714.4</v>
      </c>
      <c r="G110" s="209">
        <f t="shared" si="7"/>
        <v>25238.799999999996</v>
      </c>
      <c r="H110" s="209">
        <f t="shared" si="8"/>
        <v>28095.999999999996</v>
      </c>
      <c r="I110" s="89">
        <f t="shared" si="9"/>
        <v>618.1119999999999</v>
      </c>
    </row>
    <row r="111" spans="1:9" s="3" customFormat="1" ht="12.75" customHeight="1">
      <c r="A111" s="893" t="s">
        <v>1122</v>
      </c>
      <c r="B111" s="894">
        <v>40001</v>
      </c>
      <c r="C111" s="894">
        <v>35067.42</v>
      </c>
      <c r="D111" s="89">
        <v>1600.08</v>
      </c>
      <c r="E111" s="894">
        <f t="shared" si="5"/>
        <v>33467.34</v>
      </c>
      <c r="F111" s="209">
        <f t="shared" si="6"/>
        <v>1600.08</v>
      </c>
      <c r="G111" s="209">
        <f t="shared" si="7"/>
        <v>31867.259999999995</v>
      </c>
      <c r="H111" s="209">
        <f t="shared" si="8"/>
        <v>32667.299999999996</v>
      </c>
      <c r="I111" s="89">
        <f t="shared" si="9"/>
        <v>718.6805999999999</v>
      </c>
    </row>
    <row r="112" spans="1:9" s="3" customFormat="1" ht="12.75" customHeight="1">
      <c r="A112" s="893" t="s">
        <v>1123</v>
      </c>
      <c r="B112" s="894">
        <v>40001</v>
      </c>
      <c r="C112" s="894">
        <v>35067.42</v>
      </c>
      <c r="D112" s="89">
        <v>1600.08</v>
      </c>
      <c r="E112" s="894">
        <f t="shared" si="5"/>
        <v>33467.34</v>
      </c>
      <c r="F112" s="209">
        <f t="shared" si="6"/>
        <v>1600.08</v>
      </c>
      <c r="G112" s="209">
        <f t="shared" si="7"/>
        <v>31867.259999999995</v>
      </c>
      <c r="H112" s="209">
        <f t="shared" si="8"/>
        <v>32667.299999999996</v>
      </c>
      <c r="I112" s="89">
        <f t="shared" si="9"/>
        <v>718.6805999999999</v>
      </c>
    </row>
    <row r="113" spans="1:9" ht="12.75" customHeight="1">
      <c r="A113" s="893" t="s">
        <v>1124</v>
      </c>
      <c r="B113" s="894">
        <v>50000</v>
      </c>
      <c r="C113" s="894">
        <v>43833.21</v>
      </c>
      <c r="D113" s="89">
        <v>2000.04</v>
      </c>
      <c r="E113" s="894">
        <f t="shared" si="5"/>
        <v>41833.17</v>
      </c>
      <c r="F113" s="209">
        <f t="shared" si="6"/>
        <v>2000.04</v>
      </c>
      <c r="G113" s="209">
        <f t="shared" si="7"/>
        <v>39833.13</v>
      </c>
      <c r="H113" s="209">
        <f t="shared" si="8"/>
        <v>40833.149999999994</v>
      </c>
      <c r="I113" s="89">
        <f t="shared" si="9"/>
        <v>898.3292999999999</v>
      </c>
    </row>
    <row r="114" spans="1:9" ht="12.75" customHeight="1">
      <c r="A114" s="893" t="s">
        <v>1125</v>
      </c>
      <c r="B114" s="894">
        <v>60000</v>
      </c>
      <c r="C114" s="894">
        <v>52600</v>
      </c>
      <c r="D114" s="89">
        <v>2400</v>
      </c>
      <c r="E114" s="894">
        <f t="shared" si="5"/>
        <v>50200</v>
      </c>
      <c r="F114" s="209">
        <f t="shared" si="6"/>
        <v>2400</v>
      </c>
      <c r="G114" s="209">
        <f t="shared" si="7"/>
        <v>47800</v>
      </c>
      <c r="H114" s="209">
        <f t="shared" si="8"/>
        <v>49000</v>
      </c>
      <c r="I114" s="89">
        <f t="shared" si="9"/>
        <v>1078</v>
      </c>
    </row>
    <row r="115" spans="1:9" ht="12.75" customHeight="1">
      <c r="A115" s="893" t="s">
        <v>1126</v>
      </c>
      <c r="B115" s="894">
        <v>60000</v>
      </c>
      <c r="C115" s="894">
        <v>52600</v>
      </c>
      <c r="D115" s="89">
        <v>2400</v>
      </c>
      <c r="E115" s="894">
        <f t="shared" si="5"/>
        <v>50200</v>
      </c>
      <c r="F115" s="209">
        <f t="shared" si="6"/>
        <v>2400</v>
      </c>
      <c r="G115" s="209">
        <f t="shared" si="7"/>
        <v>47800</v>
      </c>
      <c r="H115" s="209">
        <f t="shared" si="8"/>
        <v>49000</v>
      </c>
      <c r="I115" s="89">
        <f t="shared" si="9"/>
        <v>1078</v>
      </c>
    </row>
    <row r="116" spans="1:9" ht="12.75" customHeight="1">
      <c r="A116" s="893" t="s">
        <v>996</v>
      </c>
      <c r="B116" s="894">
        <v>40001</v>
      </c>
      <c r="C116" s="894">
        <v>36667.6</v>
      </c>
      <c r="D116" s="89">
        <v>5714.4</v>
      </c>
      <c r="E116" s="894">
        <f t="shared" si="5"/>
        <v>30953.199999999997</v>
      </c>
      <c r="F116" s="209">
        <f t="shared" si="6"/>
        <v>5714.4</v>
      </c>
      <c r="G116" s="209">
        <f t="shared" si="7"/>
        <v>25238.799999999996</v>
      </c>
      <c r="H116" s="209">
        <f t="shared" si="8"/>
        <v>28095.999999999996</v>
      </c>
      <c r="I116" s="89">
        <f t="shared" si="9"/>
        <v>618.1119999999999</v>
      </c>
    </row>
    <row r="117" spans="1:9" ht="12.75" customHeight="1">
      <c r="A117" s="893" t="s">
        <v>1127</v>
      </c>
      <c r="B117" s="894">
        <v>45793.42</v>
      </c>
      <c r="C117" s="894">
        <v>38161.18</v>
      </c>
      <c r="D117" s="89">
        <v>6541.92</v>
      </c>
      <c r="E117" s="894">
        <f t="shared" si="5"/>
        <v>31619.260000000002</v>
      </c>
      <c r="F117" s="209">
        <f t="shared" si="6"/>
        <v>6541.92</v>
      </c>
      <c r="G117" s="209">
        <f t="shared" si="7"/>
        <v>25077.340000000004</v>
      </c>
      <c r="H117" s="209">
        <f t="shared" si="8"/>
        <v>28348.300000000003</v>
      </c>
      <c r="I117" s="89">
        <f t="shared" si="9"/>
        <v>623.6626</v>
      </c>
    </row>
    <row r="118" spans="1:9" ht="12.75" customHeight="1">
      <c r="A118" s="893" t="s">
        <v>997</v>
      </c>
      <c r="B118" s="894">
        <v>40001</v>
      </c>
      <c r="C118" s="894">
        <v>36667.6</v>
      </c>
      <c r="D118" s="89">
        <v>5714.4</v>
      </c>
      <c r="E118" s="894">
        <f t="shared" si="5"/>
        <v>30953.199999999997</v>
      </c>
      <c r="F118" s="209">
        <f t="shared" si="6"/>
        <v>5714.4</v>
      </c>
      <c r="G118" s="209">
        <f t="shared" si="7"/>
        <v>25238.799999999996</v>
      </c>
      <c r="H118" s="209">
        <f t="shared" si="8"/>
        <v>28095.999999999996</v>
      </c>
      <c r="I118" s="89">
        <f t="shared" si="9"/>
        <v>618.1119999999999</v>
      </c>
    </row>
    <row r="119" spans="1:9" ht="12.75" customHeight="1">
      <c r="A119" s="893" t="s">
        <v>998</v>
      </c>
      <c r="B119" s="894">
        <v>40001</v>
      </c>
      <c r="C119" s="894">
        <v>36667.6</v>
      </c>
      <c r="D119" s="89">
        <v>5714.4</v>
      </c>
      <c r="E119" s="894">
        <f t="shared" si="5"/>
        <v>30953.199999999997</v>
      </c>
      <c r="F119" s="209">
        <f t="shared" si="6"/>
        <v>5714.4</v>
      </c>
      <c r="G119" s="209">
        <f t="shared" si="7"/>
        <v>25238.799999999996</v>
      </c>
      <c r="H119" s="209">
        <f t="shared" si="8"/>
        <v>28095.999999999996</v>
      </c>
      <c r="I119" s="89">
        <f t="shared" si="9"/>
        <v>618.1119999999999</v>
      </c>
    </row>
    <row r="120" spans="1:9" ht="12.75" customHeight="1">
      <c r="A120" s="893" t="s">
        <v>999</v>
      </c>
      <c r="B120" s="894">
        <v>40001</v>
      </c>
      <c r="C120" s="894">
        <v>36667.6</v>
      </c>
      <c r="D120" s="89">
        <v>5714.4</v>
      </c>
      <c r="E120" s="894">
        <f t="shared" si="5"/>
        <v>30953.199999999997</v>
      </c>
      <c r="F120" s="209">
        <f t="shared" si="6"/>
        <v>5714.4</v>
      </c>
      <c r="G120" s="209">
        <f t="shared" si="7"/>
        <v>25238.799999999996</v>
      </c>
      <c r="H120" s="209">
        <f t="shared" si="8"/>
        <v>28095.999999999996</v>
      </c>
      <c r="I120" s="89">
        <f t="shared" si="9"/>
        <v>618.1119999999999</v>
      </c>
    </row>
    <row r="121" spans="1:9" ht="12.75" customHeight="1">
      <c r="A121" s="893" t="s">
        <v>1000</v>
      </c>
      <c r="B121" s="894">
        <v>40001</v>
      </c>
      <c r="C121" s="894">
        <v>36667.6</v>
      </c>
      <c r="D121" s="89">
        <v>5714.4</v>
      </c>
      <c r="E121" s="894">
        <f t="shared" si="5"/>
        <v>30953.199999999997</v>
      </c>
      <c r="F121" s="209">
        <f t="shared" si="6"/>
        <v>5714.4</v>
      </c>
      <c r="G121" s="209">
        <f t="shared" si="7"/>
        <v>25238.799999999996</v>
      </c>
      <c r="H121" s="209">
        <f t="shared" si="8"/>
        <v>28095.999999999996</v>
      </c>
      <c r="I121" s="89">
        <f t="shared" si="9"/>
        <v>618.1119999999999</v>
      </c>
    </row>
    <row r="122" spans="1:9" ht="12.75" customHeight="1">
      <c r="A122" s="893" t="s">
        <v>1001</v>
      </c>
      <c r="B122" s="894">
        <v>40001</v>
      </c>
      <c r="C122" s="894">
        <v>36667.6</v>
      </c>
      <c r="D122" s="89">
        <v>5714.4</v>
      </c>
      <c r="E122" s="894">
        <f t="shared" si="5"/>
        <v>30953.199999999997</v>
      </c>
      <c r="F122" s="209">
        <f t="shared" si="6"/>
        <v>5714.4</v>
      </c>
      <c r="G122" s="209">
        <f t="shared" si="7"/>
        <v>25238.799999999996</v>
      </c>
      <c r="H122" s="209">
        <f t="shared" si="8"/>
        <v>28095.999999999996</v>
      </c>
      <c r="I122" s="89">
        <f t="shared" si="9"/>
        <v>618.1119999999999</v>
      </c>
    </row>
    <row r="123" spans="1:9" ht="12.75" customHeight="1">
      <c r="A123" s="893" t="s">
        <v>1002</v>
      </c>
      <c r="B123" s="894">
        <v>40001</v>
      </c>
      <c r="C123" s="894">
        <v>36667.6</v>
      </c>
      <c r="D123" s="89">
        <v>5714.4</v>
      </c>
      <c r="E123" s="894">
        <f t="shared" si="5"/>
        <v>30953.199999999997</v>
      </c>
      <c r="F123" s="209">
        <f t="shared" si="6"/>
        <v>5714.4</v>
      </c>
      <c r="G123" s="209">
        <f t="shared" si="7"/>
        <v>25238.799999999996</v>
      </c>
      <c r="H123" s="209">
        <f t="shared" si="8"/>
        <v>28095.999999999996</v>
      </c>
      <c r="I123" s="89">
        <f t="shared" si="9"/>
        <v>618.1119999999999</v>
      </c>
    </row>
    <row r="124" spans="1:9" ht="12.75" customHeight="1">
      <c r="A124" s="893" t="s">
        <v>1003</v>
      </c>
      <c r="B124" s="894">
        <v>40001</v>
      </c>
      <c r="C124" s="894">
        <v>36667.6</v>
      </c>
      <c r="D124" s="89">
        <v>5714.4</v>
      </c>
      <c r="E124" s="894">
        <f t="shared" si="5"/>
        <v>30953.199999999997</v>
      </c>
      <c r="F124" s="209">
        <f t="shared" si="6"/>
        <v>5714.4</v>
      </c>
      <c r="G124" s="209">
        <f t="shared" si="7"/>
        <v>25238.799999999996</v>
      </c>
      <c r="H124" s="209">
        <f t="shared" si="8"/>
        <v>28095.999999999996</v>
      </c>
      <c r="I124" s="89">
        <f t="shared" si="9"/>
        <v>618.1119999999999</v>
      </c>
    </row>
    <row r="125" spans="1:9" ht="12.75" customHeight="1">
      <c r="A125" s="893" t="s">
        <v>1004</v>
      </c>
      <c r="B125" s="894">
        <v>40001</v>
      </c>
      <c r="C125" s="894">
        <v>36667.6</v>
      </c>
      <c r="D125" s="89">
        <v>5714.4</v>
      </c>
      <c r="E125" s="894">
        <f t="shared" si="5"/>
        <v>30953.199999999997</v>
      </c>
      <c r="F125" s="209">
        <f t="shared" si="6"/>
        <v>5714.4</v>
      </c>
      <c r="G125" s="209">
        <f t="shared" si="7"/>
        <v>25238.799999999996</v>
      </c>
      <c r="H125" s="209">
        <f t="shared" si="8"/>
        <v>28095.999999999996</v>
      </c>
      <c r="I125" s="89">
        <f t="shared" si="9"/>
        <v>618.1119999999999</v>
      </c>
    </row>
    <row r="126" spans="1:9" ht="12.75" customHeight="1">
      <c r="A126" s="893" t="s">
        <v>1005</v>
      </c>
      <c r="B126" s="894">
        <v>40001</v>
      </c>
      <c r="C126" s="894">
        <v>36667.6</v>
      </c>
      <c r="D126" s="89">
        <v>5714.4</v>
      </c>
      <c r="E126" s="894">
        <f t="shared" si="5"/>
        <v>30953.199999999997</v>
      </c>
      <c r="F126" s="209">
        <f t="shared" si="6"/>
        <v>5714.4</v>
      </c>
      <c r="G126" s="209">
        <f t="shared" si="7"/>
        <v>25238.799999999996</v>
      </c>
      <c r="H126" s="209">
        <f t="shared" si="8"/>
        <v>28095.999999999996</v>
      </c>
      <c r="I126" s="89">
        <f t="shared" si="9"/>
        <v>618.1119999999999</v>
      </c>
    </row>
    <row r="127" spans="1:9" ht="12.75" customHeight="1">
      <c r="A127" s="893" t="s">
        <v>1006</v>
      </c>
      <c r="B127" s="894">
        <v>40001</v>
      </c>
      <c r="C127" s="894">
        <v>36667.6</v>
      </c>
      <c r="D127" s="89">
        <v>5714.4</v>
      </c>
      <c r="E127" s="894">
        <f t="shared" si="5"/>
        <v>30953.199999999997</v>
      </c>
      <c r="F127" s="209">
        <f t="shared" si="6"/>
        <v>5714.4</v>
      </c>
      <c r="G127" s="209">
        <f t="shared" si="7"/>
        <v>25238.799999999996</v>
      </c>
      <c r="H127" s="209">
        <f t="shared" si="8"/>
        <v>28095.999999999996</v>
      </c>
      <c r="I127" s="89">
        <f t="shared" si="9"/>
        <v>618.1119999999999</v>
      </c>
    </row>
    <row r="128" spans="1:9" ht="12.75" customHeight="1">
      <c r="A128" s="893" t="s">
        <v>1007</v>
      </c>
      <c r="B128" s="894">
        <v>40001</v>
      </c>
      <c r="C128" s="894">
        <v>36667.6</v>
      </c>
      <c r="D128" s="89">
        <v>5714.4</v>
      </c>
      <c r="E128" s="894">
        <f t="shared" si="5"/>
        <v>30953.199999999997</v>
      </c>
      <c r="F128" s="209">
        <f t="shared" si="6"/>
        <v>5714.4</v>
      </c>
      <c r="G128" s="209">
        <f t="shared" si="7"/>
        <v>25238.799999999996</v>
      </c>
      <c r="H128" s="209">
        <f t="shared" si="8"/>
        <v>28095.999999999996</v>
      </c>
      <c r="I128" s="89">
        <f t="shared" si="9"/>
        <v>618.1119999999999</v>
      </c>
    </row>
    <row r="129" spans="1:9" ht="12.75" customHeight="1">
      <c r="A129" s="893" t="s">
        <v>1008</v>
      </c>
      <c r="B129" s="894">
        <v>40001</v>
      </c>
      <c r="C129" s="894">
        <v>36667.6</v>
      </c>
      <c r="D129" s="89">
        <v>5714.4</v>
      </c>
      <c r="E129" s="894">
        <f t="shared" si="5"/>
        <v>30953.199999999997</v>
      </c>
      <c r="F129" s="209">
        <f t="shared" si="6"/>
        <v>5714.4</v>
      </c>
      <c r="G129" s="209">
        <f t="shared" si="7"/>
        <v>25238.799999999996</v>
      </c>
      <c r="H129" s="209">
        <f t="shared" si="8"/>
        <v>28095.999999999996</v>
      </c>
      <c r="I129" s="89">
        <f t="shared" si="9"/>
        <v>618.1119999999999</v>
      </c>
    </row>
    <row r="130" spans="1:9" ht="12.75" customHeight="1">
      <c r="A130" s="893" t="s">
        <v>1009</v>
      </c>
      <c r="B130" s="894">
        <v>40001</v>
      </c>
      <c r="C130" s="894">
        <v>36667.6</v>
      </c>
      <c r="D130" s="89">
        <v>5714.4</v>
      </c>
      <c r="E130" s="894">
        <f t="shared" si="5"/>
        <v>30953.199999999997</v>
      </c>
      <c r="F130" s="209">
        <f t="shared" si="6"/>
        <v>5714.4</v>
      </c>
      <c r="G130" s="209">
        <f t="shared" si="7"/>
        <v>25238.799999999996</v>
      </c>
      <c r="H130" s="209">
        <f t="shared" si="8"/>
        <v>28095.999999999996</v>
      </c>
      <c r="I130" s="89">
        <f t="shared" si="9"/>
        <v>618.1119999999999</v>
      </c>
    </row>
    <row r="131" spans="1:9" ht="12.75" customHeight="1">
      <c r="A131" s="893" t="s">
        <v>1010</v>
      </c>
      <c r="B131" s="894">
        <v>40001</v>
      </c>
      <c r="C131" s="894">
        <v>36667.6</v>
      </c>
      <c r="D131" s="89">
        <v>5714.4</v>
      </c>
      <c r="E131" s="894">
        <f t="shared" si="5"/>
        <v>30953.199999999997</v>
      </c>
      <c r="F131" s="209">
        <f t="shared" si="6"/>
        <v>5714.4</v>
      </c>
      <c r="G131" s="209">
        <f t="shared" si="7"/>
        <v>25238.799999999996</v>
      </c>
      <c r="H131" s="209">
        <f t="shared" si="8"/>
        <v>28095.999999999996</v>
      </c>
      <c r="I131" s="89">
        <f t="shared" si="9"/>
        <v>618.1119999999999</v>
      </c>
    </row>
    <row r="132" spans="1:9" ht="12.75" customHeight="1">
      <c r="A132" s="893" t="s">
        <v>1011</v>
      </c>
      <c r="B132" s="894">
        <v>40001</v>
      </c>
      <c r="C132" s="894">
        <v>36667.6</v>
      </c>
      <c r="D132" s="89">
        <v>5714.4</v>
      </c>
      <c r="E132" s="894">
        <f t="shared" si="5"/>
        <v>30953.199999999997</v>
      </c>
      <c r="F132" s="209">
        <f t="shared" si="6"/>
        <v>5714.4</v>
      </c>
      <c r="G132" s="209">
        <f t="shared" si="7"/>
        <v>25238.799999999996</v>
      </c>
      <c r="H132" s="209">
        <f t="shared" si="8"/>
        <v>28095.999999999996</v>
      </c>
      <c r="I132" s="89">
        <f t="shared" si="9"/>
        <v>618.1119999999999</v>
      </c>
    </row>
    <row r="133" spans="1:9" ht="12.75" customHeight="1">
      <c r="A133" s="893" t="s">
        <v>1012</v>
      </c>
      <c r="B133" s="894">
        <v>40001</v>
      </c>
      <c r="C133" s="894">
        <v>36667.6</v>
      </c>
      <c r="D133" s="89">
        <v>5714.4</v>
      </c>
      <c r="E133" s="894">
        <f t="shared" si="5"/>
        <v>30953.199999999997</v>
      </c>
      <c r="F133" s="209">
        <f t="shared" si="6"/>
        <v>5714.4</v>
      </c>
      <c r="G133" s="209">
        <f t="shared" si="7"/>
        <v>25238.799999999996</v>
      </c>
      <c r="H133" s="209">
        <f t="shared" si="8"/>
        <v>28095.999999999996</v>
      </c>
      <c r="I133" s="89">
        <f t="shared" si="9"/>
        <v>618.1119999999999</v>
      </c>
    </row>
    <row r="134" spans="1:9" ht="12.75" customHeight="1">
      <c r="A134" s="893" t="s">
        <v>1013</v>
      </c>
      <c r="B134" s="894">
        <v>40001</v>
      </c>
      <c r="C134" s="894">
        <v>36667.6</v>
      </c>
      <c r="D134" s="89">
        <v>5714.4</v>
      </c>
      <c r="E134" s="894">
        <f t="shared" si="5"/>
        <v>30953.199999999997</v>
      </c>
      <c r="F134" s="209">
        <f t="shared" si="6"/>
        <v>5714.4</v>
      </c>
      <c r="G134" s="209">
        <f t="shared" si="7"/>
        <v>25238.799999999996</v>
      </c>
      <c r="H134" s="209">
        <f t="shared" si="8"/>
        <v>28095.999999999996</v>
      </c>
      <c r="I134" s="89">
        <f t="shared" si="9"/>
        <v>618.1119999999999</v>
      </c>
    </row>
    <row r="135" spans="1:9" ht="12.75" customHeight="1">
      <c r="A135" s="893" t="s">
        <v>1014</v>
      </c>
      <c r="B135" s="894">
        <v>40001</v>
      </c>
      <c r="C135" s="894">
        <v>36667.6</v>
      </c>
      <c r="D135" s="89">
        <v>5714.4</v>
      </c>
      <c r="E135" s="894">
        <f aca="true" t="shared" si="10" ref="E135:E191">C135-D135</f>
        <v>30953.199999999997</v>
      </c>
      <c r="F135" s="209">
        <f aca="true" t="shared" si="11" ref="F135:F191">IF(D135&lt;=E135,D135,E135)</f>
        <v>5714.4</v>
      </c>
      <c r="G135" s="209">
        <f aca="true" t="shared" si="12" ref="G135:G198">E135-F135</f>
        <v>25238.799999999996</v>
      </c>
      <c r="H135" s="209">
        <f aca="true" t="shared" si="13" ref="H135:H190">(E135+G135)/2</f>
        <v>28095.999999999996</v>
      </c>
      <c r="I135" s="89">
        <f aca="true" t="shared" si="14" ref="I135:I190">H135*0.022</f>
        <v>618.1119999999999</v>
      </c>
    </row>
    <row r="136" spans="1:9" ht="12.75" customHeight="1">
      <c r="A136" s="893" t="s">
        <v>1015</v>
      </c>
      <c r="B136" s="894">
        <v>40001</v>
      </c>
      <c r="C136" s="894">
        <v>36667.6</v>
      </c>
      <c r="D136" s="89">
        <v>5714.4</v>
      </c>
      <c r="E136" s="894">
        <f t="shared" si="10"/>
        <v>30953.199999999997</v>
      </c>
      <c r="F136" s="209">
        <f t="shared" si="11"/>
        <v>5714.4</v>
      </c>
      <c r="G136" s="209">
        <f t="shared" si="12"/>
        <v>25238.799999999996</v>
      </c>
      <c r="H136" s="209">
        <f t="shared" si="13"/>
        <v>28095.999999999996</v>
      </c>
      <c r="I136" s="89">
        <f t="shared" si="14"/>
        <v>618.1119999999999</v>
      </c>
    </row>
    <row r="137" spans="1:9" ht="12.75" customHeight="1">
      <c r="A137" s="893" t="s">
        <v>1016</v>
      </c>
      <c r="B137" s="894">
        <v>40001</v>
      </c>
      <c r="C137" s="894">
        <v>36667.6</v>
      </c>
      <c r="D137" s="89">
        <v>5714.4</v>
      </c>
      <c r="E137" s="894">
        <f t="shared" si="10"/>
        <v>30953.199999999997</v>
      </c>
      <c r="F137" s="209">
        <f t="shared" si="11"/>
        <v>5714.4</v>
      </c>
      <c r="G137" s="209">
        <f t="shared" si="12"/>
        <v>25238.799999999996</v>
      </c>
      <c r="H137" s="209">
        <f t="shared" si="13"/>
        <v>28095.999999999996</v>
      </c>
      <c r="I137" s="89">
        <f t="shared" si="14"/>
        <v>618.1119999999999</v>
      </c>
    </row>
    <row r="138" spans="1:9" ht="12.75" customHeight="1">
      <c r="A138" s="893" t="s">
        <v>1017</v>
      </c>
      <c r="B138" s="894">
        <v>40001</v>
      </c>
      <c r="C138" s="894">
        <v>36667.6</v>
      </c>
      <c r="D138" s="89">
        <v>5714.4</v>
      </c>
      <c r="E138" s="894">
        <f t="shared" si="10"/>
        <v>30953.199999999997</v>
      </c>
      <c r="F138" s="209">
        <f t="shared" si="11"/>
        <v>5714.4</v>
      </c>
      <c r="G138" s="209">
        <f t="shared" si="12"/>
        <v>25238.799999999996</v>
      </c>
      <c r="H138" s="209">
        <f t="shared" si="13"/>
        <v>28095.999999999996</v>
      </c>
      <c r="I138" s="89">
        <f t="shared" si="14"/>
        <v>618.1119999999999</v>
      </c>
    </row>
    <row r="139" spans="1:9" ht="12.75" customHeight="1">
      <c r="A139" s="893" t="s">
        <v>1018</v>
      </c>
      <c r="B139" s="894">
        <v>40001</v>
      </c>
      <c r="C139" s="894">
        <v>36667.6</v>
      </c>
      <c r="D139" s="89">
        <v>5714.4</v>
      </c>
      <c r="E139" s="894">
        <f t="shared" si="10"/>
        <v>30953.199999999997</v>
      </c>
      <c r="F139" s="209">
        <f t="shared" si="11"/>
        <v>5714.4</v>
      </c>
      <c r="G139" s="209">
        <f t="shared" si="12"/>
        <v>25238.799999999996</v>
      </c>
      <c r="H139" s="209">
        <f t="shared" si="13"/>
        <v>28095.999999999996</v>
      </c>
      <c r="I139" s="89">
        <f t="shared" si="14"/>
        <v>618.1119999999999</v>
      </c>
    </row>
    <row r="140" spans="1:9" ht="12.75" customHeight="1">
      <c r="A140" s="893" t="s">
        <v>1128</v>
      </c>
      <c r="B140" s="894">
        <v>40001</v>
      </c>
      <c r="C140" s="894">
        <v>33810.4</v>
      </c>
      <c r="D140" s="89">
        <v>5714.4</v>
      </c>
      <c r="E140" s="894">
        <f t="shared" si="10"/>
        <v>28096</v>
      </c>
      <c r="F140" s="209">
        <f t="shared" si="11"/>
        <v>5714.4</v>
      </c>
      <c r="G140" s="209">
        <f t="shared" si="12"/>
        <v>22381.6</v>
      </c>
      <c r="H140" s="209">
        <f t="shared" si="13"/>
        <v>25238.8</v>
      </c>
      <c r="I140" s="89">
        <f t="shared" si="14"/>
        <v>555.2536</v>
      </c>
    </row>
    <row r="141" spans="1:9" ht="12.75" customHeight="1">
      <c r="A141" s="893" t="s">
        <v>1129</v>
      </c>
      <c r="B141" s="894">
        <v>40001</v>
      </c>
      <c r="C141" s="894">
        <v>33810.4</v>
      </c>
      <c r="D141" s="89">
        <v>5714.4</v>
      </c>
      <c r="E141" s="894">
        <f t="shared" si="10"/>
        <v>28096</v>
      </c>
      <c r="F141" s="209">
        <f t="shared" si="11"/>
        <v>5714.4</v>
      </c>
      <c r="G141" s="209">
        <f t="shared" si="12"/>
        <v>22381.6</v>
      </c>
      <c r="H141" s="209">
        <f t="shared" si="13"/>
        <v>25238.8</v>
      </c>
      <c r="I141" s="89">
        <f t="shared" si="14"/>
        <v>555.2536</v>
      </c>
    </row>
    <row r="142" spans="1:9" ht="12.75" customHeight="1">
      <c r="A142" s="893" t="s">
        <v>1019</v>
      </c>
      <c r="B142" s="894">
        <v>40001</v>
      </c>
      <c r="C142" s="894">
        <v>36667.6</v>
      </c>
      <c r="D142" s="89">
        <v>5714.4</v>
      </c>
      <c r="E142" s="894">
        <f t="shared" si="10"/>
        <v>30953.199999999997</v>
      </c>
      <c r="F142" s="209">
        <f t="shared" si="11"/>
        <v>5714.4</v>
      </c>
      <c r="G142" s="209">
        <f t="shared" si="12"/>
        <v>25238.799999999996</v>
      </c>
      <c r="H142" s="209">
        <f t="shared" si="13"/>
        <v>28095.999999999996</v>
      </c>
      <c r="I142" s="89">
        <f t="shared" si="14"/>
        <v>618.1119999999999</v>
      </c>
    </row>
    <row r="143" spans="1:9" ht="12.75" customHeight="1">
      <c r="A143" s="893" t="s">
        <v>1020</v>
      </c>
      <c r="B143" s="894">
        <v>40001</v>
      </c>
      <c r="C143" s="894">
        <v>36667.6</v>
      </c>
      <c r="D143" s="89">
        <v>5714.4</v>
      </c>
      <c r="E143" s="894">
        <f t="shared" si="10"/>
        <v>30953.199999999997</v>
      </c>
      <c r="F143" s="209">
        <f t="shared" si="11"/>
        <v>5714.4</v>
      </c>
      <c r="G143" s="209">
        <f t="shared" si="12"/>
        <v>25238.799999999996</v>
      </c>
      <c r="H143" s="209">
        <f t="shared" si="13"/>
        <v>28095.999999999996</v>
      </c>
      <c r="I143" s="89">
        <f t="shared" si="14"/>
        <v>618.1119999999999</v>
      </c>
    </row>
    <row r="144" spans="1:9" ht="12.75" customHeight="1">
      <c r="A144" s="893" t="s">
        <v>1021</v>
      </c>
      <c r="B144" s="894">
        <v>40001</v>
      </c>
      <c r="C144" s="894">
        <v>36667.6</v>
      </c>
      <c r="D144" s="89">
        <v>5714.4</v>
      </c>
      <c r="E144" s="894">
        <f t="shared" si="10"/>
        <v>30953.199999999997</v>
      </c>
      <c r="F144" s="209">
        <f t="shared" si="11"/>
        <v>5714.4</v>
      </c>
      <c r="G144" s="209">
        <f t="shared" si="12"/>
        <v>25238.799999999996</v>
      </c>
      <c r="H144" s="209">
        <f t="shared" si="13"/>
        <v>28095.999999999996</v>
      </c>
      <c r="I144" s="89">
        <f t="shared" si="14"/>
        <v>618.1119999999999</v>
      </c>
    </row>
    <row r="145" spans="1:9" ht="12.75" customHeight="1">
      <c r="A145" s="893" t="s">
        <v>1022</v>
      </c>
      <c r="B145" s="894">
        <v>40001</v>
      </c>
      <c r="C145" s="894">
        <v>36667.6</v>
      </c>
      <c r="D145" s="89">
        <v>5714.4</v>
      </c>
      <c r="E145" s="894">
        <f t="shared" si="10"/>
        <v>30953.199999999997</v>
      </c>
      <c r="F145" s="209">
        <f t="shared" si="11"/>
        <v>5714.4</v>
      </c>
      <c r="G145" s="209">
        <f t="shared" si="12"/>
        <v>25238.799999999996</v>
      </c>
      <c r="H145" s="209">
        <f t="shared" si="13"/>
        <v>28095.999999999996</v>
      </c>
      <c r="I145" s="89">
        <f t="shared" si="14"/>
        <v>618.1119999999999</v>
      </c>
    </row>
    <row r="146" spans="1:9" ht="12.75" customHeight="1">
      <c r="A146" s="893" t="s">
        <v>1023</v>
      </c>
      <c r="B146" s="894">
        <v>40001</v>
      </c>
      <c r="C146" s="894">
        <v>36667.6</v>
      </c>
      <c r="D146" s="89">
        <v>5714.4</v>
      </c>
      <c r="E146" s="894">
        <f t="shared" si="10"/>
        <v>30953.199999999997</v>
      </c>
      <c r="F146" s="209">
        <f t="shared" si="11"/>
        <v>5714.4</v>
      </c>
      <c r="G146" s="209">
        <f t="shared" si="12"/>
        <v>25238.799999999996</v>
      </c>
      <c r="H146" s="209">
        <f t="shared" si="13"/>
        <v>28095.999999999996</v>
      </c>
      <c r="I146" s="89">
        <f t="shared" si="14"/>
        <v>618.1119999999999</v>
      </c>
    </row>
    <row r="147" spans="1:9" ht="12.75" customHeight="1">
      <c r="A147" s="893" t="s">
        <v>1024</v>
      </c>
      <c r="B147" s="894">
        <v>40001</v>
      </c>
      <c r="C147" s="894">
        <v>36667.6</v>
      </c>
      <c r="D147" s="89">
        <v>5714.4</v>
      </c>
      <c r="E147" s="894">
        <f t="shared" si="10"/>
        <v>30953.199999999997</v>
      </c>
      <c r="F147" s="209">
        <f t="shared" si="11"/>
        <v>5714.4</v>
      </c>
      <c r="G147" s="209">
        <f t="shared" si="12"/>
        <v>25238.799999999996</v>
      </c>
      <c r="H147" s="209">
        <f t="shared" si="13"/>
        <v>28095.999999999996</v>
      </c>
      <c r="I147" s="89">
        <f t="shared" si="14"/>
        <v>618.1119999999999</v>
      </c>
    </row>
    <row r="148" spans="1:9" ht="12.75" customHeight="1">
      <c r="A148" s="893" t="s">
        <v>1025</v>
      </c>
      <c r="B148" s="894">
        <v>40001</v>
      </c>
      <c r="C148" s="894">
        <v>36667.6</v>
      </c>
      <c r="D148" s="89">
        <v>5714.4</v>
      </c>
      <c r="E148" s="894">
        <f t="shared" si="10"/>
        <v>30953.199999999997</v>
      </c>
      <c r="F148" s="209">
        <f t="shared" si="11"/>
        <v>5714.4</v>
      </c>
      <c r="G148" s="209">
        <f t="shared" si="12"/>
        <v>25238.799999999996</v>
      </c>
      <c r="H148" s="209">
        <f t="shared" si="13"/>
        <v>28095.999999999996</v>
      </c>
      <c r="I148" s="89">
        <f t="shared" si="14"/>
        <v>618.1119999999999</v>
      </c>
    </row>
    <row r="149" spans="1:9" ht="12.75" customHeight="1">
      <c r="A149" s="893" t="s">
        <v>1130</v>
      </c>
      <c r="B149" s="894">
        <v>99000</v>
      </c>
      <c r="C149" s="894">
        <v>86790</v>
      </c>
      <c r="D149" s="89">
        <v>3960</v>
      </c>
      <c r="E149" s="894">
        <f t="shared" si="10"/>
        <v>82830</v>
      </c>
      <c r="F149" s="209">
        <f t="shared" si="11"/>
        <v>3960</v>
      </c>
      <c r="G149" s="209">
        <f t="shared" si="12"/>
        <v>78870</v>
      </c>
      <c r="H149" s="209">
        <f t="shared" si="13"/>
        <v>80850</v>
      </c>
      <c r="I149" s="89">
        <f t="shared" si="14"/>
        <v>1778.6999999999998</v>
      </c>
    </row>
    <row r="150" spans="1:9" ht="12.75" customHeight="1">
      <c r="A150" s="893" t="s">
        <v>1026</v>
      </c>
      <c r="B150" s="894">
        <v>40001</v>
      </c>
      <c r="C150" s="894">
        <v>36667.6</v>
      </c>
      <c r="D150" s="89">
        <v>5714.4</v>
      </c>
      <c r="E150" s="894">
        <f t="shared" si="10"/>
        <v>30953.199999999997</v>
      </c>
      <c r="F150" s="209">
        <f t="shared" si="11"/>
        <v>5714.4</v>
      </c>
      <c r="G150" s="209">
        <f t="shared" si="12"/>
        <v>25238.799999999996</v>
      </c>
      <c r="H150" s="209">
        <f t="shared" si="13"/>
        <v>28095.999999999996</v>
      </c>
      <c r="I150" s="89">
        <f t="shared" si="14"/>
        <v>618.1119999999999</v>
      </c>
    </row>
    <row r="151" spans="1:9" ht="12.75" customHeight="1">
      <c r="A151" s="893" t="s">
        <v>1027</v>
      </c>
      <c r="B151" s="894">
        <v>40001</v>
      </c>
      <c r="C151" s="894">
        <v>36667.6</v>
      </c>
      <c r="D151" s="89">
        <v>5714.4</v>
      </c>
      <c r="E151" s="894">
        <f t="shared" si="10"/>
        <v>30953.199999999997</v>
      </c>
      <c r="F151" s="209">
        <f t="shared" si="11"/>
        <v>5714.4</v>
      </c>
      <c r="G151" s="209">
        <f t="shared" si="12"/>
        <v>25238.799999999996</v>
      </c>
      <c r="H151" s="209">
        <f t="shared" si="13"/>
        <v>28095.999999999996</v>
      </c>
      <c r="I151" s="89">
        <f t="shared" si="14"/>
        <v>618.1119999999999</v>
      </c>
    </row>
    <row r="152" spans="1:9" ht="12.75" customHeight="1">
      <c r="A152" s="893" t="s">
        <v>1131</v>
      </c>
      <c r="B152" s="894">
        <v>40001</v>
      </c>
      <c r="C152" s="894">
        <v>35067.42</v>
      </c>
      <c r="D152" s="89">
        <v>1600.08</v>
      </c>
      <c r="E152" s="894">
        <f t="shared" si="10"/>
        <v>33467.34</v>
      </c>
      <c r="F152" s="209">
        <f t="shared" si="11"/>
        <v>1600.08</v>
      </c>
      <c r="G152" s="209">
        <f t="shared" si="12"/>
        <v>31867.259999999995</v>
      </c>
      <c r="H152" s="209">
        <f t="shared" si="13"/>
        <v>32667.299999999996</v>
      </c>
      <c r="I152" s="89">
        <f t="shared" si="14"/>
        <v>718.6805999999999</v>
      </c>
    </row>
    <row r="153" spans="1:9" ht="12.75" customHeight="1">
      <c r="A153" s="893" t="s">
        <v>1132</v>
      </c>
      <c r="B153" s="894">
        <v>40001</v>
      </c>
      <c r="C153" s="894">
        <v>35067.42</v>
      </c>
      <c r="D153" s="89">
        <v>1600.08</v>
      </c>
      <c r="E153" s="894">
        <f t="shared" si="10"/>
        <v>33467.34</v>
      </c>
      <c r="F153" s="209">
        <f t="shared" si="11"/>
        <v>1600.08</v>
      </c>
      <c r="G153" s="209">
        <f t="shared" si="12"/>
        <v>31867.259999999995</v>
      </c>
      <c r="H153" s="209">
        <f t="shared" si="13"/>
        <v>32667.299999999996</v>
      </c>
      <c r="I153" s="89">
        <f t="shared" si="14"/>
        <v>718.6805999999999</v>
      </c>
    </row>
    <row r="154" spans="1:9" ht="12.75" customHeight="1">
      <c r="A154" s="893" t="s">
        <v>1028</v>
      </c>
      <c r="B154" s="894">
        <v>40001</v>
      </c>
      <c r="C154" s="894">
        <v>36667.6</v>
      </c>
      <c r="D154" s="89">
        <v>5714.4</v>
      </c>
      <c r="E154" s="894">
        <f t="shared" si="10"/>
        <v>30953.199999999997</v>
      </c>
      <c r="F154" s="209">
        <f t="shared" si="11"/>
        <v>5714.4</v>
      </c>
      <c r="G154" s="209">
        <f t="shared" si="12"/>
        <v>25238.799999999996</v>
      </c>
      <c r="H154" s="209">
        <f t="shared" si="13"/>
        <v>28095.999999999996</v>
      </c>
      <c r="I154" s="89">
        <f t="shared" si="14"/>
        <v>618.1119999999999</v>
      </c>
    </row>
    <row r="155" spans="1:9" ht="12.75" customHeight="1">
      <c r="A155" s="893" t="s">
        <v>1029</v>
      </c>
      <c r="B155" s="894">
        <v>40001</v>
      </c>
      <c r="C155" s="894">
        <v>36667.6</v>
      </c>
      <c r="D155" s="89">
        <v>5714.4</v>
      </c>
      <c r="E155" s="894">
        <f t="shared" si="10"/>
        <v>30953.199999999997</v>
      </c>
      <c r="F155" s="209">
        <f t="shared" si="11"/>
        <v>5714.4</v>
      </c>
      <c r="G155" s="209">
        <f t="shared" si="12"/>
        <v>25238.799999999996</v>
      </c>
      <c r="H155" s="209">
        <f t="shared" si="13"/>
        <v>28095.999999999996</v>
      </c>
      <c r="I155" s="89">
        <f t="shared" si="14"/>
        <v>618.1119999999999</v>
      </c>
    </row>
    <row r="156" spans="1:9" ht="12.75" customHeight="1">
      <c r="A156" s="893" t="s">
        <v>1030</v>
      </c>
      <c r="B156" s="894">
        <v>40001</v>
      </c>
      <c r="C156" s="894">
        <v>36667.6</v>
      </c>
      <c r="D156" s="89">
        <v>5714.4</v>
      </c>
      <c r="E156" s="894">
        <f t="shared" si="10"/>
        <v>30953.199999999997</v>
      </c>
      <c r="F156" s="209">
        <f t="shared" si="11"/>
        <v>5714.4</v>
      </c>
      <c r="G156" s="209">
        <f t="shared" si="12"/>
        <v>25238.799999999996</v>
      </c>
      <c r="H156" s="209">
        <f t="shared" si="13"/>
        <v>28095.999999999996</v>
      </c>
      <c r="I156" s="89">
        <f t="shared" si="14"/>
        <v>618.1119999999999</v>
      </c>
    </row>
    <row r="157" spans="1:9" ht="12.75" customHeight="1">
      <c r="A157" s="893" t="s">
        <v>1031</v>
      </c>
      <c r="B157" s="894">
        <v>40001</v>
      </c>
      <c r="C157" s="894">
        <v>36667.6</v>
      </c>
      <c r="D157" s="89">
        <v>5714.4</v>
      </c>
      <c r="E157" s="894">
        <f t="shared" si="10"/>
        <v>30953.199999999997</v>
      </c>
      <c r="F157" s="209">
        <f t="shared" si="11"/>
        <v>5714.4</v>
      </c>
      <c r="G157" s="209">
        <f t="shared" si="12"/>
        <v>25238.799999999996</v>
      </c>
      <c r="H157" s="209">
        <f t="shared" si="13"/>
        <v>28095.999999999996</v>
      </c>
      <c r="I157" s="89">
        <f t="shared" si="14"/>
        <v>618.1119999999999</v>
      </c>
    </row>
    <row r="158" spans="1:9" ht="12.75" customHeight="1">
      <c r="A158" s="893" t="s">
        <v>1032</v>
      </c>
      <c r="B158" s="894">
        <v>40001</v>
      </c>
      <c r="C158" s="894">
        <v>36667.6</v>
      </c>
      <c r="D158" s="89">
        <v>5714.4</v>
      </c>
      <c r="E158" s="894">
        <f t="shared" si="10"/>
        <v>30953.199999999997</v>
      </c>
      <c r="F158" s="209">
        <f t="shared" si="11"/>
        <v>5714.4</v>
      </c>
      <c r="G158" s="209">
        <f t="shared" si="12"/>
        <v>25238.799999999996</v>
      </c>
      <c r="H158" s="209">
        <f t="shared" si="13"/>
        <v>28095.999999999996</v>
      </c>
      <c r="I158" s="89">
        <f t="shared" si="14"/>
        <v>618.1119999999999</v>
      </c>
    </row>
    <row r="159" spans="1:9" ht="12.75" customHeight="1">
      <c r="A159" s="893" t="s">
        <v>1033</v>
      </c>
      <c r="B159" s="894">
        <v>40001</v>
      </c>
      <c r="C159" s="894">
        <v>36667.6</v>
      </c>
      <c r="D159" s="89">
        <v>5714.4</v>
      </c>
      <c r="E159" s="894">
        <f t="shared" si="10"/>
        <v>30953.199999999997</v>
      </c>
      <c r="F159" s="209">
        <f t="shared" si="11"/>
        <v>5714.4</v>
      </c>
      <c r="G159" s="209">
        <f t="shared" si="12"/>
        <v>25238.799999999996</v>
      </c>
      <c r="H159" s="209">
        <f t="shared" si="13"/>
        <v>28095.999999999996</v>
      </c>
      <c r="I159" s="89">
        <f t="shared" si="14"/>
        <v>618.1119999999999</v>
      </c>
    </row>
    <row r="160" spans="1:9" ht="12.75" customHeight="1">
      <c r="A160" s="893" t="s">
        <v>1034</v>
      </c>
      <c r="B160" s="894">
        <v>40001</v>
      </c>
      <c r="C160" s="894">
        <v>36667.6</v>
      </c>
      <c r="D160" s="89">
        <v>5714.4</v>
      </c>
      <c r="E160" s="894">
        <f t="shared" si="10"/>
        <v>30953.199999999997</v>
      </c>
      <c r="F160" s="209">
        <f t="shared" si="11"/>
        <v>5714.4</v>
      </c>
      <c r="G160" s="209">
        <f t="shared" si="12"/>
        <v>25238.799999999996</v>
      </c>
      <c r="H160" s="209">
        <f t="shared" si="13"/>
        <v>28095.999999999996</v>
      </c>
      <c r="I160" s="89">
        <f t="shared" si="14"/>
        <v>618.1119999999999</v>
      </c>
    </row>
    <row r="161" spans="1:9" ht="12.75" customHeight="1">
      <c r="A161" s="893" t="s">
        <v>1133</v>
      </c>
      <c r="B161" s="894">
        <v>40001</v>
      </c>
      <c r="C161" s="894">
        <v>35067.42</v>
      </c>
      <c r="D161" s="89">
        <v>1600.08</v>
      </c>
      <c r="E161" s="894">
        <f t="shared" si="10"/>
        <v>33467.34</v>
      </c>
      <c r="F161" s="209">
        <f t="shared" si="11"/>
        <v>1600.08</v>
      </c>
      <c r="G161" s="209">
        <f t="shared" si="12"/>
        <v>31867.259999999995</v>
      </c>
      <c r="H161" s="209">
        <f t="shared" si="13"/>
        <v>32667.299999999996</v>
      </c>
      <c r="I161" s="89">
        <f t="shared" si="14"/>
        <v>718.6805999999999</v>
      </c>
    </row>
    <row r="162" spans="1:9" ht="12.75" customHeight="1">
      <c r="A162" s="893" t="s">
        <v>1134</v>
      </c>
      <c r="B162" s="894">
        <v>40001</v>
      </c>
      <c r="C162" s="894">
        <v>35067.42</v>
      </c>
      <c r="D162" s="89">
        <v>1600.08</v>
      </c>
      <c r="E162" s="894">
        <f t="shared" si="10"/>
        <v>33467.34</v>
      </c>
      <c r="F162" s="209">
        <f t="shared" si="11"/>
        <v>1600.08</v>
      </c>
      <c r="G162" s="209">
        <f t="shared" si="12"/>
        <v>31867.259999999995</v>
      </c>
      <c r="H162" s="209">
        <f t="shared" si="13"/>
        <v>32667.299999999996</v>
      </c>
      <c r="I162" s="89">
        <f t="shared" si="14"/>
        <v>718.6805999999999</v>
      </c>
    </row>
    <row r="163" spans="1:9" ht="12.75" customHeight="1">
      <c r="A163" s="893" t="s">
        <v>1035</v>
      </c>
      <c r="B163" s="894">
        <v>40001</v>
      </c>
      <c r="C163" s="894">
        <v>36667.6</v>
      </c>
      <c r="D163" s="89">
        <v>5714.4</v>
      </c>
      <c r="E163" s="894">
        <f t="shared" si="10"/>
        <v>30953.199999999997</v>
      </c>
      <c r="F163" s="209">
        <f t="shared" si="11"/>
        <v>5714.4</v>
      </c>
      <c r="G163" s="209">
        <f t="shared" si="12"/>
        <v>25238.799999999996</v>
      </c>
      <c r="H163" s="209">
        <f t="shared" si="13"/>
        <v>28095.999999999996</v>
      </c>
      <c r="I163" s="89">
        <f t="shared" si="14"/>
        <v>618.1119999999999</v>
      </c>
    </row>
    <row r="164" spans="1:9" ht="12.75" customHeight="1">
      <c r="A164" s="893" t="s">
        <v>1135</v>
      </c>
      <c r="B164" s="894">
        <v>40001</v>
      </c>
      <c r="C164" s="894">
        <v>35067.42</v>
      </c>
      <c r="D164" s="89">
        <v>1600.08</v>
      </c>
      <c r="E164" s="894">
        <f t="shared" si="10"/>
        <v>33467.34</v>
      </c>
      <c r="F164" s="209">
        <f t="shared" si="11"/>
        <v>1600.08</v>
      </c>
      <c r="G164" s="209">
        <f t="shared" si="12"/>
        <v>31867.259999999995</v>
      </c>
      <c r="H164" s="209">
        <f t="shared" si="13"/>
        <v>32667.299999999996</v>
      </c>
      <c r="I164" s="89">
        <f t="shared" si="14"/>
        <v>718.6805999999999</v>
      </c>
    </row>
    <row r="165" spans="1:9" ht="12.75" customHeight="1">
      <c r="A165" s="893" t="s">
        <v>1136</v>
      </c>
      <c r="B165" s="894">
        <v>40001</v>
      </c>
      <c r="C165" s="894">
        <v>35067.42</v>
      </c>
      <c r="D165" s="89">
        <v>1600.08</v>
      </c>
      <c r="E165" s="894">
        <f t="shared" si="10"/>
        <v>33467.34</v>
      </c>
      <c r="F165" s="209">
        <f t="shared" si="11"/>
        <v>1600.08</v>
      </c>
      <c r="G165" s="209">
        <f t="shared" si="12"/>
        <v>31867.259999999995</v>
      </c>
      <c r="H165" s="209">
        <f t="shared" si="13"/>
        <v>32667.299999999996</v>
      </c>
      <c r="I165" s="89">
        <f t="shared" si="14"/>
        <v>718.6805999999999</v>
      </c>
    </row>
    <row r="166" spans="1:9" ht="12.75" customHeight="1">
      <c r="A166" s="893" t="s">
        <v>1137</v>
      </c>
      <c r="B166" s="894">
        <v>80000</v>
      </c>
      <c r="C166" s="894">
        <v>70133.21</v>
      </c>
      <c r="D166" s="89">
        <v>3200.04</v>
      </c>
      <c r="E166" s="894">
        <f t="shared" si="10"/>
        <v>66933.17000000001</v>
      </c>
      <c r="F166" s="209">
        <f t="shared" si="11"/>
        <v>3200.04</v>
      </c>
      <c r="G166" s="209">
        <f t="shared" si="12"/>
        <v>63733.13000000001</v>
      </c>
      <c r="H166" s="209">
        <f t="shared" si="13"/>
        <v>65333.15000000001</v>
      </c>
      <c r="I166" s="89">
        <f t="shared" si="14"/>
        <v>1437.3293</v>
      </c>
    </row>
    <row r="167" spans="1:9" ht="12.75" customHeight="1">
      <c r="A167" s="893" t="s">
        <v>1138</v>
      </c>
      <c r="B167" s="894">
        <v>18000</v>
      </c>
      <c r="C167" s="894">
        <v>7792.94</v>
      </c>
      <c r="D167" s="89">
        <v>598.3199999999999</v>
      </c>
      <c r="E167" s="894">
        <f t="shared" si="10"/>
        <v>7194.62</v>
      </c>
      <c r="F167" s="209">
        <f t="shared" si="11"/>
        <v>598.3199999999999</v>
      </c>
      <c r="G167" s="209">
        <f t="shared" si="12"/>
        <v>6596.3</v>
      </c>
      <c r="H167" s="209">
        <f t="shared" si="13"/>
        <v>6895.46</v>
      </c>
      <c r="I167" s="89">
        <f t="shared" si="14"/>
        <v>151.70012</v>
      </c>
    </row>
    <row r="168" spans="1:9" ht="12.75" customHeight="1">
      <c r="A168" s="893" t="s">
        <v>1139</v>
      </c>
      <c r="B168" s="894">
        <v>40001</v>
      </c>
      <c r="C168" s="894">
        <v>35067.42</v>
      </c>
      <c r="D168" s="89">
        <v>1600.08</v>
      </c>
      <c r="E168" s="894">
        <f t="shared" si="10"/>
        <v>33467.34</v>
      </c>
      <c r="F168" s="209">
        <f t="shared" si="11"/>
        <v>1600.08</v>
      </c>
      <c r="G168" s="209">
        <f t="shared" si="12"/>
        <v>31867.259999999995</v>
      </c>
      <c r="H168" s="209">
        <f t="shared" si="13"/>
        <v>32667.299999999996</v>
      </c>
      <c r="I168" s="89">
        <f t="shared" si="14"/>
        <v>718.6805999999999</v>
      </c>
    </row>
    <row r="169" spans="1:9" ht="12.75" customHeight="1">
      <c r="A169" s="893" t="s">
        <v>1140</v>
      </c>
      <c r="B169" s="894">
        <v>40001</v>
      </c>
      <c r="C169" s="894">
        <v>35067.42</v>
      </c>
      <c r="D169" s="89">
        <v>1600.08</v>
      </c>
      <c r="E169" s="894">
        <f t="shared" si="10"/>
        <v>33467.34</v>
      </c>
      <c r="F169" s="209">
        <f t="shared" si="11"/>
        <v>1600.08</v>
      </c>
      <c r="G169" s="209">
        <f t="shared" si="12"/>
        <v>31867.259999999995</v>
      </c>
      <c r="H169" s="209">
        <f t="shared" si="13"/>
        <v>32667.299999999996</v>
      </c>
      <c r="I169" s="89">
        <f t="shared" si="14"/>
        <v>718.6805999999999</v>
      </c>
    </row>
    <row r="170" spans="1:9" ht="12.75" customHeight="1">
      <c r="A170" s="893" t="s">
        <v>1141</v>
      </c>
      <c r="B170" s="894">
        <v>14800</v>
      </c>
      <c r="C170" s="894">
        <v>6407.4</v>
      </c>
      <c r="D170" s="89">
        <v>492</v>
      </c>
      <c r="E170" s="894">
        <f t="shared" si="10"/>
        <v>5915.4</v>
      </c>
      <c r="F170" s="209">
        <f t="shared" si="11"/>
        <v>492</v>
      </c>
      <c r="G170" s="209">
        <f t="shared" si="12"/>
        <v>5423.4</v>
      </c>
      <c r="H170" s="209">
        <f t="shared" si="13"/>
        <v>5669.4</v>
      </c>
      <c r="I170" s="89">
        <f t="shared" si="14"/>
        <v>124.72679999999998</v>
      </c>
    </row>
    <row r="171" spans="1:9" ht="12.75" customHeight="1">
      <c r="A171" s="893" t="s">
        <v>1142</v>
      </c>
      <c r="B171" s="894">
        <v>40001</v>
      </c>
      <c r="C171" s="894">
        <v>35067.42</v>
      </c>
      <c r="D171" s="89">
        <v>1600.08</v>
      </c>
      <c r="E171" s="894">
        <f t="shared" si="10"/>
        <v>33467.34</v>
      </c>
      <c r="F171" s="209">
        <f t="shared" si="11"/>
        <v>1600.08</v>
      </c>
      <c r="G171" s="209">
        <f t="shared" si="12"/>
        <v>31867.259999999995</v>
      </c>
      <c r="H171" s="209">
        <f t="shared" si="13"/>
        <v>32667.299999999996</v>
      </c>
      <c r="I171" s="89">
        <f t="shared" si="14"/>
        <v>718.6805999999999</v>
      </c>
    </row>
    <row r="172" spans="1:9" ht="12.75" customHeight="1">
      <c r="A172" s="893" t="s">
        <v>1143</v>
      </c>
      <c r="B172" s="894">
        <v>40001</v>
      </c>
      <c r="C172" s="894">
        <v>35067.42</v>
      </c>
      <c r="D172" s="89">
        <v>1600.08</v>
      </c>
      <c r="E172" s="894">
        <f t="shared" si="10"/>
        <v>33467.34</v>
      </c>
      <c r="F172" s="209">
        <f t="shared" si="11"/>
        <v>1600.08</v>
      </c>
      <c r="G172" s="209">
        <f t="shared" si="12"/>
        <v>31867.259999999995</v>
      </c>
      <c r="H172" s="209">
        <f t="shared" si="13"/>
        <v>32667.299999999996</v>
      </c>
      <c r="I172" s="89">
        <f t="shared" si="14"/>
        <v>718.6805999999999</v>
      </c>
    </row>
    <row r="173" spans="1:9" ht="12.75" customHeight="1">
      <c r="A173" s="893" t="s">
        <v>1144</v>
      </c>
      <c r="B173" s="894">
        <v>40001</v>
      </c>
      <c r="C173" s="894">
        <v>35067.42</v>
      </c>
      <c r="D173" s="89">
        <v>1600.08</v>
      </c>
      <c r="E173" s="894">
        <f t="shared" si="10"/>
        <v>33467.34</v>
      </c>
      <c r="F173" s="209">
        <f t="shared" si="11"/>
        <v>1600.08</v>
      </c>
      <c r="G173" s="209">
        <f t="shared" si="12"/>
        <v>31867.259999999995</v>
      </c>
      <c r="H173" s="209">
        <f t="shared" si="13"/>
        <v>32667.299999999996</v>
      </c>
      <c r="I173" s="89">
        <f t="shared" si="14"/>
        <v>718.6805999999999</v>
      </c>
    </row>
    <row r="174" spans="1:9" ht="12.75" customHeight="1">
      <c r="A174" s="893" t="s">
        <v>1145</v>
      </c>
      <c r="B174" s="894">
        <v>40001</v>
      </c>
      <c r="C174" s="894">
        <v>35067.42</v>
      </c>
      <c r="D174" s="89">
        <v>1600.08</v>
      </c>
      <c r="E174" s="894">
        <f t="shared" si="10"/>
        <v>33467.34</v>
      </c>
      <c r="F174" s="209">
        <f t="shared" si="11"/>
        <v>1600.08</v>
      </c>
      <c r="G174" s="209">
        <f t="shared" si="12"/>
        <v>31867.259999999995</v>
      </c>
      <c r="H174" s="209">
        <f t="shared" si="13"/>
        <v>32667.299999999996</v>
      </c>
      <c r="I174" s="89">
        <f t="shared" si="14"/>
        <v>718.6805999999999</v>
      </c>
    </row>
    <row r="175" spans="1:9" ht="12.75" customHeight="1">
      <c r="A175" s="893" t="s">
        <v>1146</v>
      </c>
      <c r="B175" s="894">
        <v>40001</v>
      </c>
      <c r="C175" s="894">
        <v>35067.42</v>
      </c>
      <c r="D175" s="89">
        <v>1600.08</v>
      </c>
      <c r="E175" s="894">
        <f t="shared" si="10"/>
        <v>33467.34</v>
      </c>
      <c r="F175" s="209">
        <f t="shared" si="11"/>
        <v>1600.08</v>
      </c>
      <c r="G175" s="209">
        <f t="shared" si="12"/>
        <v>31867.259999999995</v>
      </c>
      <c r="H175" s="209">
        <f t="shared" si="13"/>
        <v>32667.299999999996</v>
      </c>
      <c r="I175" s="89">
        <f t="shared" si="14"/>
        <v>718.6805999999999</v>
      </c>
    </row>
    <row r="176" spans="1:9" ht="12.75" customHeight="1">
      <c r="A176" s="893" t="s">
        <v>1147</v>
      </c>
      <c r="B176" s="894">
        <v>40001</v>
      </c>
      <c r="C176" s="894">
        <v>35067.42</v>
      </c>
      <c r="D176" s="89">
        <v>1600.08</v>
      </c>
      <c r="E176" s="894">
        <f t="shared" si="10"/>
        <v>33467.34</v>
      </c>
      <c r="F176" s="209">
        <f t="shared" si="11"/>
        <v>1600.08</v>
      </c>
      <c r="G176" s="209">
        <f t="shared" si="12"/>
        <v>31867.259999999995</v>
      </c>
      <c r="H176" s="209">
        <f t="shared" si="13"/>
        <v>32667.299999999996</v>
      </c>
      <c r="I176" s="89">
        <f t="shared" si="14"/>
        <v>718.6805999999999</v>
      </c>
    </row>
    <row r="177" spans="1:9" ht="12.75" customHeight="1">
      <c r="A177" s="893" t="s">
        <v>1148</v>
      </c>
      <c r="B177" s="894">
        <v>40001</v>
      </c>
      <c r="C177" s="894">
        <v>35067.42</v>
      </c>
      <c r="D177" s="89">
        <v>1600.08</v>
      </c>
      <c r="E177" s="894">
        <f t="shared" si="10"/>
        <v>33467.34</v>
      </c>
      <c r="F177" s="209">
        <f t="shared" si="11"/>
        <v>1600.08</v>
      </c>
      <c r="G177" s="209">
        <f t="shared" si="12"/>
        <v>31867.259999999995</v>
      </c>
      <c r="H177" s="209">
        <f t="shared" si="13"/>
        <v>32667.299999999996</v>
      </c>
      <c r="I177" s="89">
        <f t="shared" si="14"/>
        <v>718.6805999999999</v>
      </c>
    </row>
    <row r="178" spans="1:9" ht="12.75" customHeight="1">
      <c r="A178" s="893" t="s">
        <v>1149</v>
      </c>
      <c r="B178" s="894">
        <v>40001</v>
      </c>
      <c r="C178" s="894">
        <v>35067.42</v>
      </c>
      <c r="D178" s="89">
        <v>1600.08</v>
      </c>
      <c r="E178" s="894">
        <f t="shared" si="10"/>
        <v>33467.34</v>
      </c>
      <c r="F178" s="209">
        <f t="shared" si="11"/>
        <v>1600.08</v>
      </c>
      <c r="G178" s="209">
        <f t="shared" si="12"/>
        <v>31867.259999999995</v>
      </c>
      <c r="H178" s="209">
        <f t="shared" si="13"/>
        <v>32667.299999999996</v>
      </c>
      <c r="I178" s="89">
        <f t="shared" si="14"/>
        <v>718.6805999999999</v>
      </c>
    </row>
    <row r="179" spans="1:9" ht="12.75" customHeight="1">
      <c r="A179" s="893" t="s">
        <v>1150</v>
      </c>
      <c r="B179" s="894">
        <v>40001</v>
      </c>
      <c r="C179" s="894">
        <v>35067.42</v>
      </c>
      <c r="D179" s="89">
        <v>1600.08</v>
      </c>
      <c r="E179" s="894">
        <f t="shared" si="10"/>
        <v>33467.34</v>
      </c>
      <c r="F179" s="209">
        <f t="shared" si="11"/>
        <v>1600.08</v>
      </c>
      <c r="G179" s="209">
        <f t="shared" si="12"/>
        <v>31867.259999999995</v>
      </c>
      <c r="H179" s="209">
        <f t="shared" si="13"/>
        <v>32667.299999999996</v>
      </c>
      <c r="I179" s="89">
        <f t="shared" si="14"/>
        <v>718.6805999999999</v>
      </c>
    </row>
    <row r="180" spans="1:9" ht="12.75" customHeight="1">
      <c r="A180" s="893" t="s">
        <v>1151</v>
      </c>
      <c r="B180" s="894">
        <v>40001</v>
      </c>
      <c r="C180" s="894">
        <v>35067.42</v>
      </c>
      <c r="D180" s="89">
        <v>1600.08</v>
      </c>
      <c r="E180" s="894">
        <f t="shared" si="10"/>
        <v>33467.34</v>
      </c>
      <c r="F180" s="209">
        <f t="shared" si="11"/>
        <v>1600.08</v>
      </c>
      <c r="G180" s="209">
        <f t="shared" si="12"/>
        <v>31867.259999999995</v>
      </c>
      <c r="H180" s="209">
        <f t="shared" si="13"/>
        <v>32667.299999999996</v>
      </c>
      <c r="I180" s="89">
        <f t="shared" si="14"/>
        <v>718.6805999999999</v>
      </c>
    </row>
    <row r="181" spans="1:9" ht="12.75" customHeight="1">
      <c r="A181" s="893" t="s">
        <v>1152</v>
      </c>
      <c r="B181" s="894">
        <v>40001</v>
      </c>
      <c r="C181" s="894">
        <v>35067.42</v>
      </c>
      <c r="D181" s="89">
        <v>1600.08</v>
      </c>
      <c r="E181" s="894">
        <f t="shared" si="10"/>
        <v>33467.34</v>
      </c>
      <c r="F181" s="209">
        <f t="shared" si="11"/>
        <v>1600.08</v>
      </c>
      <c r="G181" s="209">
        <f t="shared" si="12"/>
        <v>31867.259999999995</v>
      </c>
      <c r="H181" s="209">
        <f t="shared" si="13"/>
        <v>32667.299999999996</v>
      </c>
      <c r="I181" s="89">
        <f t="shared" si="14"/>
        <v>718.6805999999999</v>
      </c>
    </row>
    <row r="182" spans="1:9" ht="12.75" customHeight="1">
      <c r="A182" s="893" t="s">
        <v>1036</v>
      </c>
      <c r="B182" s="894">
        <v>40001</v>
      </c>
      <c r="C182" s="894">
        <v>36667.6</v>
      </c>
      <c r="D182" s="89">
        <v>5714.4</v>
      </c>
      <c r="E182" s="894">
        <f t="shared" si="10"/>
        <v>30953.199999999997</v>
      </c>
      <c r="F182" s="209">
        <f t="shared" si="11"/>
        <v>5714.4</v>
      </c>
      <c r="G182" s="209">
        <f t="shared" si="12"/>
        <v>25238.799999999996</v>
      </c>
      <c r="H182" s="209">
        <f t="shared" si="13"/>
        <v>28095.999999999996</v>
      </c>
      <c r="I182" s="89">
        <f t="shared" si="14"/>
        <v>618.1119999999999</v>
      </c>
    </row>
    <row r="183" spans="1:9" ht="12.75" customHeight="1">
      <c r="A183" s="893" t="s">
        <v>1037</v>
      </c>
      <c r="B183" s="894">
        <v>107211.46</v>
      </c>
      <c r="C183" s="894">
        <v>84937.65</v>
      </c>
      <c r="D183" s="89">
        <v>3563.76</v>
      </c>
      <c r="E183" s="894">
        <f t="shared" si="10"/>
        <v>81373.89</v>
      </c>
      <c r="F183" s="209">
        <f t="shared" si="11"/>
        <v>3563.76</v>
      </c>
      <c r="G183" s="209">
        <f t="shared" si="12"/>
        <v>77810.13</v>
      </c>
      <c r="H183" s="209">
        <f t="shared" si="13"/>
        <v>79592.01000000001</v>
      </c>
      <c r="I183" s="89">
        <f t="shared" si="14"/>
        <v>1751.02422</v>
      </c>
    </row>
    <row r="184" spans="1:9" ht="12.75" customHeight="1">
      <c r="A184" s="893" t="s">
        <v>1153</v>
      </c>
      <c r="B184" s="894">
        <v>2945833.56</v>
      </c>
      <c r="C184" s="894">
        <v>1173443.46</v>
      </c>
      <c r="D184" s="89">
        <v>146680.56</v>
      </c>
      <c r="E184" s="894">
        <f t="shared" si="10"/>
        <v>1026762.8999999999</v>
      </c>
      <c r="F184" s="209">
        <f t="shared" si="11"/>
        <v>146680.56</v>
      </c>
      <c r="G184" s="209">
        <f t="shared" si="12"/>
        <v>880082.3399999999</v>
      </c>
      <c r="H184" s="209">
        <f t="shared" si="13"/>
        <v>953422.6199999999</v>
      </c>
      <c r="I184" s="89">
        <f t="shared" si="14"/>
        <v>20975.297639999997</v>
      </c>
    </row>
    <row r="185" spans="1:9" ht="12.75" customHeight="1">
      <c r="A185" s="893" t="s">
        <v>1154</v>
      </c>
      <c r="B185" s="894">
        <v>4746477.05</v>
      </c>
      <c r="C185" s="894">
        <v>2127051.36</v>
      </c>
      <c r="D185" s="89">
        <v>236339.16</v>
      </c>
      <c r="E185" s="894">
        <f t="shared" si="10"/>
        <v>1890712.2</v>
      </c>
      <c r="F185" s="209">
        <f t="shared" si="11"/>
        <v>236339.16</v>
      </c>
      <c r="G185" s="209">
        <f t="shared" si="12"/>
        <v>1654373.04</v>
      </c>
      <c r="H185" s="209">
        <f t="shared" si="13"/>
        <v>1772542.62</v>
      </c>
      <c r="I185" s="89">
        <f t="shared" si="14"/>
        <v>38995.937640000004</v>
      </c>
    </row>
    <row r="186" spans="1:9" ht="12.75" customHeight="1">
      <c r="A186" s="893" t="s">
        <v>1155</v>
      </c>
      <c r="B186" s="894">
        <v>16077</v>
      </c>
      <c r="C186" s="894">
        <v>6915.23</v>
      </c>
      <c r="D186" s="89">
        <v>534.36</v>
      </c>
      <c r="E186" s="894">
        <f t="shared" si="10"/>
        <v>6380.87</v>
      </c>
      <c r="F186" s="209">
        <f t="shared" si="11"/>
        <v>534.36</v>
      </c>
      <c r="G186" s="209">
        <f t="shared" si="12"/>
        <v>5846.51</v>
      </c>
      <c r="H186" s="209">
        <f t="shared" si="13"/>
        <v>6113.6900000000005</v>
      </c>
      <c r="I186" s="89">
        <f t="shared" si="14"/>
        <v>134.50118</v>
      </c>
    </row>
    <row r="187" spans="1:9" ht="12.75" customHeight="1">
      <c r="A187" s="893" t="s">
        <v>1156</v>
      </c>
      <c r="B187" s="894">
        <v>62410</v>
      </c>
      <c r="C187" s="894">
        <v>26844.88</v>
      </c>
      <c r="D187" s="89">
        <v>2074.56</v>
      </c>
      <c r="E187" s="894">
        <f t="shared" si="10"/>
        <v>24770.32</v>
      </c>
      <c r="F187" s="209">
        <f t="shared" si="11"/>
        <v>2074.56</v>
      </c>
      <c r="G187" s="209">
        <f t="shared" si="12"/>
        <v>22695.76</v>
      </c>
      <c r="H187" s="209">
        <f t="shared" si="13"/>
        <v>23733.04</v>
      </c>
      <c r="I187" s="89">
        <f t="shared" si="14"/>
        <v>522.12688</v>
      </c>
    </row>
    <row r="188" spans="1:9" ht="12.75" customHeight="1">
      <c r="A188" s="893" t="s">
        <v>1157</v>
      </c>
      <c r="B188" s="894">
        <v>11962</v>
      </c>
      <c r="C188" s="894">
        <v>5144.94</v>
      </c>
      <c r="D188" s="89">
        <v>397.68</v>
      </c>
      <c r="E188" s="894">
        <f t="shared" si="10"/>
        <v>4747.259999999999</v>
      </c>
      <c r="F188" s="209">
        <f t="shared" si="11"/>
        <v>397.68</v>
      </c>
      <c r="G188" s="209">
        <f t="shared" si="12"/>
        <v>4349.579999999999</v>
      </c>
      <c r="H188" s="209">
        <f t="shared" si="13"/>
        <v>4548.419999999999</v>
      </c>
      <c r="I188" s="89">
        <f t="shared" si="14"/>
        <v>100.06523999999997</v>
      </c>
    </row>
    <row r="189" spans="1:9" ht="12.75" customHeight="1">
      <c r="A189" s="893" t="s">
        <v>1158</v>
      </c>
      <c r="B189" s="894">
        <v>136039.36</v>
      </c>
      <c r="C189" s="894">
        <v>126995.2</v>
      </c>
      <c r="D189" s="89">
        <v>4522.08</v>
      </c>
      <c r="E189" s="894">
        <f t="shared" si="10"/>
        <v>122473.12</v>
      </c>
      <c r="F189" s="209">
        <f t="shared" si="11"/>
        <v>4522.08</v>
      </c>
      <c r="G189" s="209">
        <f t="shared" si="12"/>
        <v>117951.04</v>
      </c>
      <c r="H189" s="209">
        <f t="shared" si="13"/>
        <v>120212.07999999999</v>
      </c>
      <c r="I189" s="89">
        <f t="shared" si="14"/>
        <v>2644.6657599999994</v>
      </c>
    </row>
    <row r="190" spans="1:9" ht="12.75" customHeight="1">
      <c r="A190" s="893" t="s">
        <v>1159</v>
      </c>
      <c r="B190" s="894">
        <v>18561</v>
      </c>
      <c r="C190" s="894">
        <v>7983.34</v>
      </c>
      <c r="D190" s="89">
        <v>617.04</v>
      </c>
      <c r="E190" s="894">
        <f t="shared" si="10"/>
        <v>7366.3</v>
      </c>
      <c r="F190" s="209">
        <f t="shared" si="11"/>
        <v>617.04</v>
      </c>
      <c r="G190" s="209">
        <f t="shared" si="12"/>
        <v>6749.26</v>
      </c>
      <c r="H190" s="209">
        <f t="shared" si="13"/>
        <v>7057.780000000001</v>
      </c>
      <c r="I190" s="89">
        <f t="shared" si="14"/>
        <v>155.27116</v>
      </c>
    </row>
    <row r="191" spans="1:9" ht="12.75" customHeight="1">
      <c r="A191" s="893" t="s">
        <v>1160</v>
      </c>
      <c r="B191" s="894">
        <v>51978</v>
      </c>
      <c r="C191" s="894">
        <v>22358.1</v>
      </c>
      <c r="D191" s="89">
        <v>1727.7599999999998</v>
      </c>
      <c r="E191" s="894">
        <f t="shared" si="10"/>
        <v>20630.34</v>
      </c>
      <c r="F191" s="209">
        <f t="shared" si="11"/>
        <v>1727.7599999999998</v>
      </c>
      <c r="G191" s="209">
        <f t="shared" si="12"/>
        <v>18902.58</v>
      </c>
      <c r="H191" s="209">
        <f>(E191+G191)/2</f>
        <v>19766.46</v>
      </c>
      <c r="I191" s="89">
        <f>H191*0.022</f>
        <v>434.86211999999995</v>
      </c>
    </row>
    <row r="192" spans="1:9" ht="42" customHeight="1">
      <c r="A192" s="1019" t="s">
        <v>1296</v>
      </c>
      <c r="B192" s="1020">
        <v>54235.84</v>
      </c>
      <c r="C192" s="107"/>
      <c r="D192" s="89">
        <f>B192/180*3</f>
        <v>903.9306666666666</v>
      </c>
      <c r="E192" s="209">
        <f>B192-D192</f>
        <v>53331.90933333333</v>
      </c>
      <c r="F192" s="209">
        <f aca="true" t="shared" si="15" ref="F192:F201">B192/180*12</f>
        <v>3615.7226666666666</v>
      </c>
      <c r="G192" s="209">
        <f t="shared" si="12"/>
        <v>49716.18666666666</v>
      </c>
      <c r="H192" s="209">
        <f aca="true" t="shared" si="16" ref="H192:H202">(E192+G192)</f>
        <v>103048.09599999999</v>
      </c>
      <c r="I192" s="89">
        <f aca="true" t="shared" si="17" ref="I192:I202">H192*0.022</f>
        <v>2267.0581119999997</v>
      </c>
    </row>
    <row r="193" spans="1:9" ht="42" customHeight="1">
      <c r="A193" s="1019" t="s">
        <v>1297</v>
      </c>
      <c r="B193" s="1020">
        <v>54235.83</v>
      </c>
      <c r="C193" s="107"/>
      <c r="D193" s="89">
        <f aca="true" t="shared" si="18" ref="D193:D198">B193/180*3</f>
        <v>903.9305000000002</v>
      </c>
      <c r="E193" s="209">
        <f aca="true" t="shared" si="19" ref="E193:E202">B193-D193</f>
        <v>53331.8995</v>
      </c>
      <c r="F193" s="209">
        <f t="shared" si="15"/>
        <v>3615.7220000000007</v>
      </c>
      <c r="G193" s="209">
        <f t="shared" si="12"/>
        <v>49716.1775</v>
      </c>
      <c r="H193" s="209">
        <f t="shared" si="16"/>
        <v>103048.07699999999</v>
      </c>
      <c r="I193" s="89">
        <f t="shared" si="17"/>
        <v>2267.0576939999996</v>
      </c>
    </row>
    <row r="194" spans="1:9" ht="42" customHeight="1">
      <c r="A194" s="1019" t="s">
        <v>1298</v>
      </c>
      <c r="B194" s="1020">
        <v>155585.83</v>
      </c>
      <c r="C194" s="107"/>
      <c r="D194" s="89">
        <f t="shared" si="18"/>
        <v>2593.0971666666665</v>
      </c>
      <c r="E194" s="209">
        <f t="shared" si="19"/>
        <v>152992.7328333333</v>
      </c>
      <c r="F194" s="209">
        <f t="shared" si="15"/>
        <v>10372.388666666666</v>
      </c>
      <c r="G194" s="209">
        <f t="shared" si="12"/>
        <v>142620.34416666665</v>
      </c>
      <c r="H194" s="209">
        <f t="shared" si="16"/>
        <v>295613.07699999993</v>
      </c>
      <c r="I194" s="89">
        <f t="shared" si="17"/>
        <v>6503.487693999999</v>
      </c>
    </row>
    <row r="195" spans="1:9" ht="42" customHeight="1">
      <c r="A195" s="1019" t="s">
        <v>1299</v>
      </c>
      <c r="B195" s="1020">
        <v>42869.17</v>
      </c>
      <c r="C195" s="107"/>
      <c r="D195" s="89">
        <f t="shared" si="18"/>
        <v>714.4861666666667</v>
      </c>
      <c r="E195" s="209">
        <f t="shared" si="19"/>
        <v>42154.68383333333</v>
      </c>
      <c r="F195" s="209">
        <f t="shared" si="15"/>
        <v>2857.9446666666668</v>
      </c>
      <c r="G195" s="209">
        <f t="shared" si="12"/>
        <v>39296.73916666666</v>
      </c>
      <c r="H195" s="209">
        <f t="shared" si="16"/>
        <v>81451.42299999998</v>
      </c>
      <c r="I195" s="89">
        <f t="shared" si="17"/>
        <v>1791.9313059999995</v>
      </c>
    </row>
    <row r="196" spans="1:9" ht="42" customHeight="1">
      <c r="A196" s="1019" t="s">
        <v>1300</v>
      </c>
      <c r="B196" s="1020">
        <v>84969.17</v>
      </c>
      <c r="C196" s="107"/>
      <c r="D196" s="89">
        <f>B196/180*3</f>
        <v>1416.1528333333333</v>
      </c>
      <c r="E196" s="209">
        <f t="shared" si="19"/>
        <v>83553.01716666667</v>
      </c>
      <c r="F196" s="209">
        <f t="shared" si="15"/>
        <v>5664.611333333333</v>
      </c>
      <c r="G196" s="209">
        <f t="shared" si="12"/>
        <v>77888.40583333334</v>
      </c>
      <c r="H196" s="209">
        <f t="shared" si="16"/>
        <v>161441.423</v>
      </c>
      <c r="I196" s="89">
        <f t="shared" si="17"/>
        <v>3551.711306</v>
      </c>
    </row>
    <row r="197" spans="1:9" ht="42" customHeight="1">
      <c r="A197" s="1019" t="s">
        <v>1301</v>
      </c>
      <c r="B197" s="1020">
        <v>110102.5</v>
      </c>
      <c r="C197" s="107"/>
      <c r="D197" s="89">
        <f t="shared" si="18"/>
        <v>1835.0416666666665</v>
      </c>
      <c r="E197" s="209">
        <f t="shared" si="19"/>
        <v>108267.45833333333</v>
      </c>
      <c r="F197" s="209">
        <f t="shared" si="15"/>
        <v>7340.166666666666</v>
      </c>
      <c r="G197" s="209">
        <f t="shared" si="12"/>
        <v>100927.29166666666</v>
      </c>
      <c r="H197" s="209">
        <f t="shared" si="16"/>
        <v>209194.75</v>
      </c>
      <c r="I197" s="89">
        <f t="shared" si="17"/>
        <v>4602.2845</v>
      </c>
    </row>
    <row r="198" spans="1:9" ht="42" customHeight="1">
      <c r="A198" s="1019" t="s">
        <v>1302</v>
      </c>
      <c r="B198" s="1020">
        <v>82302.5</v>
      </c>
      <c r="C198" s="107"/>
      <c r="D198" s="89">
        <f t="shared" si="18"/>
        <v>1371.7083333333333</v>
      </c>
      <c r="E198" s="209">
        <f t="shared" si="19"/>
        <v>80930.79166666667</v>
      </c>
      <c r="F198" s="209">
        <f t="shared" si="15"/>
        <v>5486.833333333333</v>
      </c>
      <c r="G198" s="209">
        <f t="shared" si="12"/>
        <v>75443.95833333334</v>
      </c>
      <c r="H198" s="209">
        <f t="shared" si="16"/>
        <v>156374.75</v>
      </c>
      <c r="I198" s="89">
        <f t="shared" si="17"/>
        <v>3440.2445</v>
      </c>
    </row>
    <row r="199" spans="1:9" ht="42" customHeight="1">
      <c r="A199" s="1019" t="s">
        <v>1303</v>
      </c>
      <c r="B199" s="1020">
        <v>82302.5</v>
      </c>
      <c r="C199" s="107"/>
      <c r="D199" s="89">
        <f>B199/180*3</f>
        <v>1371.7083333333333</v>
      </c>
      <c r="E199" s="209">
        <f t="shared" si="19"/>
        <v>80930.79166666667</v>
      </c>
      <c r="F199" s="209">
        <f t="shared" si="15"/>
        <v>5486.833333333333</v>
      </c>
      <c r="G199" s="209">
        <f>E199-F199</f>
        <v>75443.95833333334</v>
      </c>
      <c r="H199" s="209">
        <f t="shared" si="16"/>
        <v>156374.75</v>
      </c>
      <c r="I199" s="89">
        <f t="shared" si="17"/>
        <v>3440.2445</v>
      </c>
    </row>
    <row r="200" spans="1:9" ht="42" customHeight="1">
      <c r="A200" s="1019" t="s">
        <v>1304</v>
      </c>
      <c r="B200" s="1020">
        <v>40100</v>
      </c>
      <c r="C200" s="107"/>
      <c r="D200" s="89">
        <f>B200/180*8</f>
        <v>1782.2222222222222</v>
      </c>
      <c r="E200" s="209">
        <f t="shared" si="19"/>
        <v>38317.77777777778</v>
      </c>
      <c r="F200" s="209">
        <f t="shared" si="15"/>
        <v>2673.333333333333</v>
      </c>
      <c r="G200" s="209">
        <f>E200-F200</f>
        <v>35644.444444444445</v>
      </c>
      <c r="H200" s="209">
        <f t="shared" si="16"/>
        <v>73962.22222222222</v>
      </c>
      <c r="I200" s="89">
        <f t="shared" si="17"/>
        <v>1627.1688888888887</v>
      </c>
    </row>
    <row r="201" spans="1:9" ht="42" customHeight="1">
      <c r="A201" s="1019" t="s">
        <v>1305</v>
      </c>
      <c r="B201" s="1020">
        <v>40100</v>
      </c>
      <c r="C201" s="107"/>
      <c r="D201" s="89">
        <f>B201/180*8</f>
        <v>1782.2222222222222</v>
      </c>
      <c r="E201" s="209">
        <f t="shared" si="19"/>
        <v>38317.77777777778</v>
      </c>
      <c r="F201" s="209">
        <f t="shared" si="15"/>
        <v>2673.333333333333</v>
      </c>
      <c r="G201" s="209">
        <f>E201-F201</f>
        <v>35644.444444444445</v>
      </c>
      <c r="H201" s="209">
        <f t="shared" si="16"/>
        <v>73962.22222222222</v>
      </c>
      <c r="I201" s="89">
        <f t="shared" si="17"/>
        <v>1627.1688888888887</v>
      </c>
    </row>
    <row r="202" spans="1:9" ht="42" customHeight="1">
      <c r="A202" s="1019" t="s">
        <v>1306</v>
      </c>
      <c r="B202" s="1020">
        <v>43700</v>
      </c>
      <c r="C202" s="107"/>
      <c r="D202" s="89">
        <f>B202/180*8</f>
        <v>1942.2222222222222</v>
      </c>
      <c r="E202" s="209">
        <f t="shared" si="19"/>
        <v>41757.77777777778</v>
      </c>
      <c r="F202" s="209">
        <f>B202/180*12</f>
        <v>2913.333333333333</v>
      </c>
      <c r="G202" s="209">
        <f>E202-F202</f>
        <v>38844.444444444445</v>
      </c>
      <c r="H202" s="209">
        <f t="shared" si="16"/>
        <v>80602.22222222222</v>
      </c>
      <c r="I202" s="89">
        <f t="shared" si="17"/>
        <v>1773.2488888888888</v>
      </c>
    </row>
    <row r="203" spans="1:9" s="5" customFormat="1" ht="12.75">
      <c r="A203" s="208" t="s">
        <v>127</v>
      </c>
      <c r="B203" s="210">
        <f>SUM(B6:B202)</f>
        <v>23420193.17</v>
      </c>
      <c r="C203" s="210">
        <f aca="true" t="shared" si="20" ref="C203:I203">SUM(C6:C202)</f>
        <v>14902076.569999961</v>
      </c>
      <c r="D203" s="210">
        <f t="shared" si="20"/>
        <v>1970109.2023333292</v>
      </c>
      <c r="E203" s="210">
        <f t="shared" si="20"/>
        <v>13722470.70766666</v>
      </c>
      <c r="F203" s="210">
        <f t="shared" si="20"/>
        <v>2006192.7026666622</v>
      </c>
      <c r="G203" s="210">
        <f t="shared" si="20"/>
        <v>11716278.004999971</v>
      </c>
      <c r="H203" s="210">
        <f t="shared" si="20"/>
        <v>13466910.862666672</v>
      </c>
      <c r="I203" s="210">
        <f t="shared" si="20"/>
        <v>296272.03897866583</v>
      </c>
    </row>
    <row r="204" spans="1:9" s="5" customFormat="1" ht="12.75">
      <c r="A204" s="208" t="s">
        <v>128</v>
      </c>
      <c r="B204" s="210"/>
      <c r="C204" s="210"/>
      <c r="D204" s="210"/>
      <c r="E204" s="210"/>
      <c r="F204" s="210"/>
      <c r="G204" s="210"/>
      <c r="H204" s="210"/>
      <c r="I204" s="104"/>
    </row>
    <row r="205" spans="1:9" ht="25.5">
      <c r="A205" s="211" t="s">
        <v>224</v>
      </c>
      <c r="B205" s="209">
        <v>655000</v>
      </c>
      <c r="C205" s="209">
        <v>307415.84</v>
      </c>
      <c r="D205" s="209">
        <f>1814.4*12</f>
        <v>21772.800000000003</v>
      </c>
      <c r="E205" s="209">
        <f>C205-D205</f>
        <v>285643.04000000004</v>
      </c>
      <c r="F205" s="209">
        <f>IF(D205&lt;=E205,D205,E205)</f>
        <v>21772.800000000003</v>
      </c>
      <c r="G205" s="209">
        <f>E205-F205</f>
        <v>263870.24000000005</v>
      </c>
      <c r="H205" s="209">
        <f>(E205+G205)/2</f>
        <v>274756.64</v>
      </c>
      <c r="I205" s="89">
        <f>H205*0.022</f>
        <v>6044.6460799999995</v>
      </c>
    </row>
    <row r="206" spans="1:9" ht="51">
      <c r="A206" s="1015" t="s">
        <v>1293</v>
      </c>
      <c r="B206" s="1016">
        <v>87719.17</v>
      </c>
      <c r="C206" s="209"/>
      <c r="D206" s="209">
        <f>B206/84*3</f>
        <v>3132.8275000000003</v>
      </c>
      <c r="E206" s="209">
        <f>B206-D206</f>
        <v>84586.3425</v>
      </c>
      <c r="F206" s="209">
        <f>B206/84*12</f>
        <v>12531.310000000001</v>
      </c>
      <c r="G206" s="209">
        <f>E206-F206</f>
        <v>72055.0325</v>
      </c>
      <c r="H206" s="209">
        <f>(E206+G206)/2</f>
        <v>78320.6875</v>
      </c>
      <c r="I206" s="89">
        <f>H206*0.022</f>
        <v>1723.0551249999999</v>
      </c>
    </row>
    <row r="207" spans="1:9" ht="38.25">
      <c r="A207" s="1015" t="s">
        <v>1294</v>
      </c>
      <c r="B207" s="1016">
        <v>108285.83</v>
      </c>
      <c r="C207" s="209"/>
      <c r="D207" s="209">
        <f>B207/84*3</f>
        <v>3867.3510714285712</v>
      </c>
      <c r="E207" s="209">
        <f>B207-D207</f>
        <v>104418.47892857144</v>
      </c>
      <c r="F207" s="209">
        <f>B207/84*12</f>
        <v>15469.404285714285</v>
      </c>
      <c r="G207" s="209">
        <f>E207-F207</f>
        <v>88949.07464285716</v>
      </c>
      <c r="H207" s="209">
        <f>(E207+G207)/2</f>
        <v>96683.77678571429</v>
      </c>
      <c r="I207" s="89">
        <f>H207*0.022</f>
        <v>2127.0430892857144</v>
      </c>
    </row>
    <row r="208" spans="1:9" ht="38.25">
      <c r="A208" s="1015" t="s">
        <v>1295</v>
      </c>
      <c r="B208" s="1016">
        <v>110000</v>
      </c>
      <c r="C208" s="209"/>
      <c r="D208" s="209">
        <f>B208/84*8</f>
        <v>10476.190476190477</v>
      </c>
      <c r="E208" s="209">
        <f>B208-D208</f>
        <v>99523.80952380953</v>
      </c>
      <c r="F208" s="209">
        <f>B208/84*12</f>
        <v>15714.285714285716</v>
      </c>
      <c r="G208" s="209">
        <f>E208-F208</f>
        <v>83809.52380952382</v>
      </c>
      <c r="H208" s="209">
        <f>(E208+G208)/2</f>
        <v>91666.66666666667</v>
      </c>
      <c r="I208" s="89">
        <f>H208*0.022</f>
        <v>2016.6666666666667</v>
      </c>
    </row>
    <row r="209" spans="1:9" s="5" customFormat="1" ht="12.75">
      <c r="A209" s="883" t="s">
        <v>129</v>
      </c>
      <c r="B209" s="104">
        <f>SUM(B205:B208)</f>
        <v>961005</v>
      </c>
      <c r="C209" s="104">
        <f aca="true" t="shared" si="21" ref="C209:I209">SUM(C205:C208)</f>
        <v>307415.84</v>
      </c>
      <c r="D209" s="104">
        <f t="shared" si="21"/>
        <v>39249.169047619056</v>
      </c>
      <c r="E209" s="104">
        <f t="shared" si="21"/>
        <v>574171.6709523811</v>
      </c>
      <c r="F209" s="104">
        <f t="shared" si="21"/>
        <v>65487.8</v>
      </c>
      <c r="G209" s="104">
        <f t="shared" si="21"/>
        <v>508683.87095238105</v>
      </c>
      <c r="H209" s="104">
        <f t="shared" si="21"/>
        <v>541427.770952381</v>
      </c>
      <c r="I209" s="104">
        <f t="shared" si="21"/>
        <v>11911.41096095238</v>
      </c>
    </row>
    <row r="210" spans="1:9" s="5" customFormat="1" ht="12.75">
      <c r="A210" s="883" t="s">
        <v>225</v>
      </c>
      <c r="B210" s="104">
        <f>B203+B209</f>
        <v>24381198.17</v>
      </c>
      <c r="C210" s="104">
        <f aca="true" t="shared" si="22" ref="C210:I210">C203+C209</f>
        <v>15209492.409999961</v>
      </c>
      <c r="D210" s="104">
        <f t="shared" si="22"/>
        <v>2009358.3713809482</v>
      </c>
      <c r="E210" s="104">
        <f t="shared" si="22"/>
        <v>14296642.378619041</v>
      </c>
      <c r="F210" s="104">
        <f>F203+F209</f>
        <v>2071680.5026666622</v>
      </c>
      <c r="G210" s="104">
        <f>G203+G209</f>
        <v>12224961.875952352</v>
      </c>
      <c r="H210" s="104">
        <f t="shared" si="22"/>
        <v>14008338.633619053</v>
      </c>
      <c r="I210" s="104">
        <f t="shared" si="22"/>
        <v>308183.44993961824</v>
      </c>
    </row>
    <row r="213" spans="1:9" s="5" customFormat="1" ht="12.75">
      <c r="A213" s="884" t="s">
        <v>59</v>
      </c>
      <c r="B213" s="886"/>
      <c r="C213" s="886"/>
      <c r="D213" s="886"/>
      <c r="E213" s="886"/>
      <c r="F213" s="886"/>
      <c r="G213" s="886"/>
      <c r="H213" s="886"/>
      <c r="I213" s="886" t="s">
        <v>60</v>
      </c>
    </row>
  </sheetData>
  <sheetProtection/>
  <mergeCells count="1">
    <mergeCell ref="A2:I2"/>
  </mergeCell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Q527"/>
  <sheetViews>
    <sheetView view="pageBreakPreview" zoomScaleSheetLayoutView="100" zoomScalePageLayoutView="0" workbookViewId="0" topLeftCell="A1">
      <pane xSplit="1" ySplit="8" topLeftCell="E9" activePane="bottomRight" state="frozen"/>
      <selection pane="topLeft" activeCell="A4" sqref="A4:AB4"/>
      <selection pane="topRight" activeCell="A4" sqref="A4:AB4"/>
      <selection pane="bottomLeft" activeCell="A4" sqref="A4:AB4"/>
      <selection pane="bottomRight" activeCell="F527" sqref="F527"/>
    </sheetView>
  </sheetViews>
  <sheetFormatPr defaultColWidth="9.00390625" defaultRowHeight="12.75" outlineLevelRow="2" outlineLevelCol="1"/>
  <cols>
    <col min="1" max="1" width="39.375" style="1" customWidth="1"/>
    <col min="2" max="2" width="17.125" style="94" customWidth="1"/>
    <col min="3" max="4" width="17.125" style="94" hidden="1" customWidth="1" outlineLevel="1"/>
    <col min="5" max="5" width="17.125" style="94" customWidth="1" collapsed="1"/>
    <col min="6" max="7" width="17.125" style="94" customWidth="1"/>
    <col min="8" max="8" width="18.375" style="94" customWidth="1"/>
    <col min="9" max="9" width="14.75390625" style="94" customWidth="1"/>
    <col min="10" max="10" width="41.875" style="1" customWidth="1"/>
    <col min="11" max="11" width="9.125" style="1" customWidth="1"/>
    <col min="12" max="12" width="14.875" style="90" bestFit="1" customWidth="1"/>
    <col min="13" max="13" width="10.375" style="1" bestFit="1" customWidth="1"/>
    <col min="14" max="16384" width="9.125" style="1" customWidth="1"/>
  </cols>
  <sheetData>
    <row r="1" spans="3:9" ht="12.75">
      <c r="C1" s="1241"/>
      <c r="D1" s="1241"/>
      <c r="E1" s="1241"/>
      <c r="F1" s="1241"/>
      <c r="G1" s="1241"/>
      <c r="H1" s="1241"/>
      <c r="I1" s="1241"/>
    </row>
    <row r="2" spans="3:9" ht="12.75">
      <c r="C2" s="1241"/>
      <c r="D2" s="1241"/>
      <c r="E2" s="1241"/>
      <c r="F2" s="1241"/>
      <c r="G2" s="1241"/>
      <c r="H2" s="1241"/>
      <c r="I2" s="1241"/>
    </row>
    <row r="4" spans="1:43" ht="20.25" customHeight="1">
      <c r="A4" s="1242" t="s">
        <v>1230</v>
      </c>
      <c r="B4" s="1242"/>
      <c r="C4" s="1242"/>
      <c r="D4" s="1242"/>
      <c r="E4" s="1242"/>
      <c r="F4" s="1242"/>
      <c r="G4" s="1242"/>
      <c r="H4" s="1242"/>
      <c r="I4" s="1242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64"/>
      <c r="B5" s="885"/>
      <c r="C5" s="885"/>
      <c r="D5" s="885"/>
      <c r="E5" s="885"/>
      <c r="F5" s="885"/>
      <c r="G5" s="885"/>
      <c r="H5" s="885"/>
      <c r="I5" s="885"/>
      <c r="J5" s="9"/>
      <c r="K5" s="9"/>
      <c r="L5" s="11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ht="12.75">
      <c r="I6" s="94" t="s">
        <v>143</v>
      </c>
    </row>
    <row r="7" spans="1:9" ht="54.75" customHeight="1">
      <c r="A7" s="10" t="s">
        <v>37</v>
      </c>
      <c r="B7" s="118" t="s">
        <v>208</v>
      </c>
      <c r="C7" s="118" t="s">
        <v>518</v>
      </c>
      <c r="D7" s="118" t="s">
        <v>530</v>
      </c>
      <c r="E7" s="118" t="s">
        <v>531</v>
      </c>
      <c r="F7" s="118" t="s">
        <v>914</v>
      </c>
      <c r="G7" s="118" t="s">
        <v>915</v>
      </c>
      <c r="H7" s="118" t="s">
        <v>916</v>
      </c>
      <c r="I7" s="118" t="s">
        <v>532</v>
      </c>
    </row>
    <row r="8" spans="1:12" s="5" customFormat="1" ht="12.75">
      <c r="A8" s="895" t="s">
        <v>39</v>
      </c>
      <c r="B8" s="125"/>
      <c r="C8" s="125"/>
      <c r="D8" s="125"/>
      <c r="E8" s="125"/>
      <c r="F8" s="125"/>
      <c r="G8" s="125"/>
      <c r="H8" s="104"/>
      <c r="I8" s="104"/>
      <c r="L8" s="109"/>
    </row>
    <row r="9" spans="1:10" ht="12.75" hidden="1" outlineLevel="1">
      <c r="A9" s="6" t="s">
        <v>185</v>
      </c>
      <c r="B9" s="105">
        <f>42927.78</f>
        <v>42927.78</v>
      </c>
      <c r="C9" s="209">
        <v>12062.790000000012</v>
      </c>
      <c r="D9" s="209">
        <v>4257.24</v>
      </c>
      <c r="E9" s="209">
        <f aca="true" t="shared" si="0" ref="E9:E16">C9-D9</f>
        <v>7805.550000000012</v>
      </c>
      <c r="F9" s="209">
        <f aca="true" t="shared" si="1" ref="F9:F16">IF(D9&lt;=E9,D9,E9)</f>
        <v>4257.24</v>
      </c>
      <c r="G9" s="209">
        <f>E9-F9</f>
        <v>3548.310000000012</v>
      </c>
      <c r="H9" s="209">
        <f>(E9+G9)/2</f>
        <v>5676.930000000012</v>
      </c>
      <c r="I9" s="89"/>
      <c r="J9" s="897"/>
    </row>
    <row r="10" spans="1:10" ht="12.75" hidden="1" outlineLevel="1">
      <c r="A10" s="6" t="s">
        <v>80</v>
      </c>
      <c r="B10" s="105">
        <v>1196353.1</v>
      </c>
      <c r="C10" s="209">
        <v>225196.04000000004</v>
      </c>
      <c r="D10" s="209">
        <v>168896.88</v>
      </c>
      <c r="E10" s="209">
        <f t="shared" si="0"/>
        <v>56299.16000000003</v>
      </c>
      <c r="F10" s="209">
        <f t="shared" si="1"/>
        <v>56299.16000000003</v>
      </c>
      <c r="G10" s="209">
        <f aca="true" t="shared" si="2" ref="G10:G16">E10-F10</f>
        <v>0</v>
      </c>
      <c r="H10" s="209">
        <f aca="true" t="shared" si="3" ref="H10:H16">(E10+G10)/2</f>
        <v>28149.580000000016</v>
      </c>
      <c r="I10" s="89"/>
      <c r="J10" s="897"/>
    </row>
    <row r="11" spans="1:10" ht="12.75" hidden="1" outlineLevel="1">
      <c r="A11" s="6" t="s">
        <v>81</v>
      </c>
      <c r="B11" s="105">
        <v>498947.4</v>
      </c>
      <c r="C11" s="209">
        <v>93919.46999999999</v>
      </c>
      <c r="D11" s="209">
        <v>70439.64</v>
      </c>
      <c r="E11" s="209">
        <f t="shared" si="0"/>
        <v>23479.829999999987</v>
      </c>
      <c r="F11" s="209">
        <f t="shared" si="1"/>
        <v>23479.829999999987</v>
      </c>
      <c r="G11" s="209">
        <f t="shared" si="2"/>
        <v>0</v>
      </c>
      <c r="H11" s="209">
        <f t="shared" si="3"/>
        <v>11739.914999999994</v>
      </c>
      <c r="I11" s="89"/>
      <c r="J11" s="897"/>
    </row>
    <row r="12" spans="1:10" ht="12.75" hidden="1" outlineLevel="1">
      <c r="A12" s="6" t="s">
        <v>82</v>
      </c>
      <c r="B12" s="105">
        <v>909108.95</v>
      </c>
      <c r="C12" s="209">
        <v>171126.35000000003</v>
      </c>
      <c r="D12" s="209">
        <v>128344.79999999999</v>
      </c>
      <c r="E12" s="209">
        <f t="shared" si="0"/>
        <v>42781.55000000005</v>
      </c>
      <c r="F12" s="209">
        <f t="shared" si="1"/>
        <v>42781.55000000005</v>
      </c>
      <c r="G12" s="209">
        <f t="shared" si="2"/>
        <v>0</v>
      </c>
      <c r="H12" s="209">
        <f t="shared" si="3"/>
        <v>21390.775000000023</v>
      </c>
      <c r="I12" s="89"/>
      <c r="J12" s="897"/>
    </row>
    <row r="13" spans="1:10" ht="12.75" hidden="1" outlineLevel="1">
      <c r="A13" s="6" t="s">
        <v>83</v>
      </c>
      <c r="B13" s="105">
        <v>856006.31</v>
      </c>
      <c r="C13" s="209">
        <v>161130.77000000008</v>
      </c>
      <c r="D13" s="209">
        <v>120847.92</v>
      </c>
      <c r="E13" s="209">
        <f t="shared" si="0"/>
        <v>40282.85000000008</v>
      </c>
      <c r="F13" s="209">
        <f t="shared" si="1"/>
        <v>40282.85000000008</v>
      </c>
      <c r="G13" s="209">
        <f t="shared" si="2"/>
        <v>0</v>
      </c>
      <c r="H13" s="209">
        <f t="shared" si="3"/>
        <v>20141.42500000004</v>
      </c>
      <c r="I13" s="89"/>
      <c r="J13" s="897"/>
    </row>
    <row r="14" spans="1:10" ht="12.75" hidden="1" outlineLevel="1">
      <c r="A14" s="6" t="s">
        <v>84</v>
      </c>
      <c r="B14" s="105">
        <v>978282.22</v>
      </c>
      <c r="C14" s="209">
        <v>184147.41999999995</v>
      </c>
      <c r="D14" s="209">
        <v>138110.4</v>
      </c>
      <c r="E14" s="209">
        <f t="shared" si="0"/>
        <v>46037.01999999996</v>
      </c>
      <c r="F14" s="209">
        <f t="shared" si="1"/>
        <v>46037.01999999996</v>
      </c>
      <c r="G14" s="209">
        <f t="shared" si="2"/>
        <v>0</v>
      </c>
      <c r="H14" s="209">
        <f t="shared" si="3"/>
        <v>23018.50999999998</v>
      </c>
      <c r="I14" s="89"/>
      <c r="J14" s="897"/>
    </row>
    <row r="15" spans="1:10" ht="12.75" hidden="1" outlineLevel="1">
      <c r="A15" s="212" t="s">
        <v>494</v>
      </c>
      <c r="B15" s="105">
        <v>40001</v>
      </c>
      <c r="C15" s="209">
        <v>31778.489999999994</v>
      </c>
      <c r="D15" s="209">
        <v>2666.7599999999998</v>
      </c>
      <c r="E15" s="209">
        <f t="shared" si="0"/>
        <v>29111.729999999996</v>
      </c>
      <c r="F15" s="209">
        <f t="shared" si="1"/>
        <v>2666.7599999999998</v>
      </c>
      <c r="G15" s="209">
        <f t="shared" si="2"/>
        <v>26444.969999999998</v>
      </c>
      <c r="H15" s="209">
        <f t="shared" si="3"/>
        <v>27778.35</v>
      </c>
      <c r="I15" s="89"/>
      <c r="J15" s="897"/>
    </row>
    <row r="16" spans="1:10" ht="12.75" hidden="1" outlineLevel="1">
      <c r="A16" s="212" t="s">
        <v>495</v>
      </c>
      <c r="B16" s="105">
        <v>40001</v>
      </c>
      <c r="C16" s="209">
        <v>31778.489999999994</v>
      </c>
      <c r="D16" s="209">
        <v>2666.7599999999998</v>
      </c>
      <c r="E16" s="209">
        <f t="shared" si="0"/>
        <v>29111.729999999996</v>
      </c>
      <c r="F16" s="209">
        <f t="shared" si="1"/>
        <v>2666.7599999999998</v>
      </c>
      <c r="G16" s="209">
        <f t="shared" si="2"/>
        <v>26444.969999999998</v>
      </c>
      <c r="H16" s="209">
        <f t="shared" si="3"/>
        <v>27778.35</v>
      </c>
      <c r="I16" s="89"/>
      <c r="J16" s="897"/>
    </row>
    <row r="17" spans="1:12" s="5" customFormat="1" ht="12.75" collapsed="1">
      <c r="A17" s="903" t="s">
        <v>40</v>
      </c>
      <c r="B17" s="104">
        <f aca="true" t="shared" si="4" ref="B17:I17">SUM(B9:B16)</f>
        <v>4561627.760000001</v>
      </c>
      <c r="C17" s="104">
        <f t="shared" si="4"/>
        <v>911139.8200000001</v>
      </c>
      <c r="D17" s="104">
        <f t="shared" si="4"/>
        <v>636230.4</v>
      </c>
      <c r="E17" s="104">
        <f t="shared" si="4"/>
        <v>274909.4200000001</v>
      </c>
      <c r="F17" s="104">
        <f t="shared" si="4"/>
        <v>218471.1700000001</v>
      </c>
      <c r="G17" s="104">
        <f t="shared" si="4"/>
        <v>56438.25000000001</v>
      </c>
      <c r="H17" s="104">
        <f t="shared" si="4"/>
        <v>165673.83500000008</v>
      </c>
      <c r="I17" s="104">
        <f t="shared" si="4"/>
        <v>0</v>
      </c>
      <c r="J17" s="898"/>
      <c r="L17" s="109"/>
    </row>
    <row r="18" spans="1:10" ht="12.75">
      <c r="A18" s="903" t="s">
        <v>41</v>
      </c>
      <c r="B18" s="104"/>
      <c r="C18" s="104"/>
      <c r="D18" s="104"/>
      <c r="E18" s="104"/>
      <c r="F18" s="104"/>
      <c r="G18" s="104"/>
      <c r="H18" s="104"/>
      <c r="I18" s="104"/>
      <c r="J18" s="898"/>
    </row>
    <row r="19" spans="1:10" ht="25.5" hidden="1" outlineLevel="1">
      <c r="A19" s="6" t="s">
        <v>160</v>
      </c>
      <c r="B19" s="105">
        <v>845762.71</v>
      </c>
      <c r="C19" s="209">
        <v>62908.309338842984</v>
      </c>
      <c r="D19" s="209">
        <v>62908.309338842984</v>
      </c>
      <c r="E19" s="209">
        <f aca="true" t="shared" si="5" ref="E19:E60">C19-D19</f>
        <v>0</v>
      </c>
      <c r="F19" s="209">
        <f aca="true" t="shared" si="6" ref="F19:F60">IF(D19&lt;=E19,D19,E19)</f>
        <v>0</v>
      </c>
      <c r="G19" s="209">
        <f>E19-F19</f>
        <v>0</v>
      </c>
      <c r="H19" s="209">
        <f>(E19+G19)/2</f>
        <v>0</v>
      </c>
      <c r="I19" s="89"/>
      <c r="J19" s="898"/>
    </row>
    <row r="20" spans="1:10" ht="12.75" hidden="1" outlineLevel="1">
      <c r="A20" s="215" t="s">
        <v>78</v>
      </c>
      <c r="B20" s="105">
        <v>408474.58</v>
      </c>
      <c r="C20" s="209">
        <v>23630.778677685958</v>
      </c>
      <c r="D20" s="209">
        <v>23630.778677685958</v>
      </c>
      <c r="E20" s="209">
        <f t="shared" si="5"/>
        <v>0</v>
      </c>
      <c r="F20" s="209">
        <f t="shared" si="6"/>
        <v>0</v>
      </c>
      <c r="G20" s="209">
        <f aca="true" t="shared" si="7" ref="G20:G82">E20-F20</f>
        <v>0</v>
      </c>
      <c r="H20" s="209">
        <f aca="true" t="shared" si="8" ref="H20:H81">(E20+G20)/2</f>
        <v>0</v>
      </c>
      <c r="I20" s="89"/>
      <c r="J20" s="899"/>
    </row>
    <row r="21" spans="1:10" ht="12.75" hidden="1" outlineLevel="1">
      <c r="A21" s="215" t="s">
        <v>78</v>
      </c>
      <c r="B21" s="105">
        <v>292372.88</v>
      </c>
      <c r="C21" s="209">
        <v>16914.16231404958</v>
      </c>
      <c r="D21" s="209">
        <v>16914.16231404958</v>
      </c>
      <c r="E21" s="209">
        <f t="shared" si="5"/>
        <v>0</v>
      </c>
      <c r="F21" s="209">
        <f t="shared" si="6"/>
        <v>0</v>
      </c>
      <c r="G21" s="209">
        <f t="shared" si="7"/>
        <v>0</v>
      </c>
      <c r="H21" s="209">
        <f t="shared" si="8"/>
        <v>0</v>
      </c>
      <c r="I21" s="89"/>
      <c r="J21" s="899"/>
    </row>
    <row r="22" spans="1:10" ht="12.75" hidden="1" outlineLevel="1">
      <c r="A22" s="215" t="s">
        <v>85</v>
      </c>
      <c r="B22" s="105">
        <v>385593.22</v>
      </c>
      <c r="C22" s="209">
        <v>38240.65074380166</v>
      </c>
      <c r="D22" s="209">
        <v>38240.64991735537</v>
      </c>
      <c r="E22" s="209">
        <f t="shared" si="5"/>
        <v>0.0008264462958322838</v>
      </c>
      <c r="F22" s="209">
        <f t="shared" si="6"/>
        <v>0.0008264462958322838</v>
      </c>
      <c r="G22" s="209">
        <f t="shared" si="7"/>
        <v>0</v>
      </c>
      <c r="H22" s="209">
        <f t="shared" si="8"/>
        <v>0.0004132231479161419</v>
      </c>
      <c r="I22" s="89"/>
      <c r="J22" s="898"/>
    </row>
    <row r="23" spans="1:10" ht="25.5" hidden="1" outlineLevel="1">
      <c r="A23" s="6" t="s">
        <v>120</v>
      </c>
      <c r="B23" s="105">
        <v>30546.61</v>
      </c>
      <c r="C23" s="209">
        <v>7087.58</v>
      </c>
      <c r="D23" s="209">
        <v>2025.2400000000002</v>
      </c>
      <c r="E23" s="209">
        <f t="shared" si="5"/>
        <v>5062.34</v>
      </c>
      <c r="F23" s="209">
        <f t="shared" si="6"/>
        <v>2025.2400000000002</v>
      </c>
      <c r="G23" s="209">
        <f t="shared" si="7"/>
        <v>3037.1</v>
      </c>
      <c r="H23" s="209">
        <f t="shared" si="8"/>
        <v>4049.7200000000003</v>
      </c>
      <c r="I23" s="89"/>
      <c r="J23" s="898"/>
    </row>
    <row r="24" spans="1:10" ht="25.5" hidden="1" outlineLevel="1">
      <c r="A24" s="6" t="s">
        <v>120</v>
      </c>
      <c r="B24" s="105">
        <v>30546.61</v>
      </c>
      <c r="C24" s="209">
        <v>7087.58</v>
      </c>
      <c r="D24" s="209">
        <v>2025.2400000000002</v>
      </c>
      <c r="E24" s="209">
        <f t="shared" si="5"/>
        <v>5062.34</v>
      </c>
      <c r="F24" s="209">
        <f t="shared" si="6"/>
        <v>2025.2400000000002</v>
      </c>
      <c r="G24" s="209">
        <f t="shared" si="7"/>
        <v>3037.1</v>
      </c>
      <c r="H24" s="209">
        <f t="shared" si="8"/>
        <v>4049.7200000000003</v>
      </c>
      <c r="I24" s="89"/>
      <c r="J24" s="898"/>
    </row>
    <row r="25" spans="1:10" ht="25.5" hidden="1" outlineLevel="1">
      <c r="A25" s="6" t="s">
        <v>120</v>
      </c>
      <c r="B25" s="105">
        <v>30546.61</v>
      </c>
      <c r="C25" s="209">
        <v>7087.58</v>
      </c>
      <c r="D25" s="209">
        <v>2025.2400000000002</v>
      </c>
      <c r="E25" s="209">
        <f t="shared" si="5"/>
        <v>5062.34</v>
      </c>
      <c r="F25" s="209">
        <f t="shared" si="6"/>
        <v>2025.2400000000002</v>
      </c>
      <c r="G25" s="209">
        <f t="shared" si="7"/>
        <v>3037.1</v>
      </c>
      <c r="H25" s="209">
        <f t="shared" si="8"/>
        <v>4049.7200000000003</v>
      </c>
      <c r="I25" s="89"/>
      <c r="J25" s="898"/>
    </row>
    <row r="26" spans="1:10" ht="25.5" hidden="1" outlineLevel="1">
      <c r="A26" s="6" t="s">
        <v>120</v>
      </c>
      <c r="B26" s="105">
        <v>30546.61</v>
      </c>
      <c r="C26" s="209">
        <v>7087.58</v>
      </c>
      <c r="D26" s="209">
        <v>2025.2400000000002</v>
      </c>
      <c r="E26" s="209">
        <f t="shared" si="5"/>
        <v>5062.34</v>
      </c>
      <c r="F26" s="209">
        <f t="shared" si="6"/>
        <v>2025.2400000000002</v>
      </c>
      <c r="G26" s="209">
        <f t="shared" si="7"/>
        <v>3037.1</v>
      </c>
      <c r="H26" s="209">
        <f t="shared" si="8"/>
        <v>4049.7200000000003</v>
      </c>
      <c r="I26" s="89"/>
      <c r="J26" s="898"/>
    </row>
    <row r="27" spans="1:10" ht="25.5" hidden="1" outlineLevel="1">
      <c r="A27" s="6" t="s">
        <v>120</v>
      </c>
      <c r="B27" s="105">
        <v>30546.61</v>
      </c>
      <c r="C27" s="209">
        <v>7087.58</v>
      </c>
      <c r="D27" s="209">
        <v>2025.2400000000002</v>
      </c>
      <c r="E27" s="209">
        <f t="shared" si="5"/>
        <v>5062.34</v>
      </c>
      <c r="F27" s="209">
        <f t="shared" si="6"/>
        <v>2025.2400000000002</v>
      </c>
      <c r="G27" s="209">
        <f t="shared" si="7"/>
        <v>3037.1</v>
      </c>
      <c r="H27" s="209">
        <f t="shared" si="8"/>
        <v>4049.7200000000003</v>
      </c>
      <c r="I27" s="89"/>
      <c r="J27" s="898"/>
    </row>
    <row r="28" spans="1:10" ht="25.5" hidden="1" outlineLevel="1">
      <c r="A28" s="6" t="s">
        <v>120</v>
      </c>
      <c r="B28" s="105">
        <v>30546.61</v>
      </c>
      <c r="C28" s="209">
        <v>7087.58</v>
      </c>
      <c r="D28" s="209">
        <v>2025.2400000000002</v>
      </c>
      <c r="E28" s="209">
        <f t="shared" si="5"/>
        <v>5062.34</v>
      </c>
      <c r="F28" s="209">
        <f t="shared" si="6"/>
        <v>2025.2400000000002</v>
      </c>
      <c r="G28" s="209">
        <f t="shared" si="7"/>
        <v>3037.1</v>
      </c>
      <c r="H28" s="209">
        <f t="shared" si="8"/>
        <v>4049.7200000000003</v>
      </c>
      <c r="I28" s="89"/>
      <c r="J28" s="898"/>
    </row>
    <row r="29" spans="1:10" ht="25.5" hidden="1" outlineLevel="1">
      <c r="A29" s="6" t="s">
        <v>120</v>
      </c>
      <c r="B29" s="105">
        <v>30546.61</v>
      </c>
      <c r="C29" s="209">
        <v>7087.58</v>
      </c>
      <c r="D29" s="209">
        <v>2025.2400000000002</v>
      </c>
      <c r="E29" s="209">
        <f t="shared" si="5"/>
        <v>5062.34</v>
      </c>
      <c r="F29" s="209">
        <f t="shared" si="6"/>
        <v>2025.2400000000002</v>
      </c>
      <c r="G29" s="209">
        <f t="shared" si="7"/>
        <v>3037.1</v>
      </c>
      <c r="H29" s="209">
        <f t="shared" si="8"/>
        <v>4049.7200000000003</v>
      </c>
      <c r="I29" s="89"/>
      <c r="J29" s="898"/>
    </row>
    <row r="30" spans="1:10" ht="25.5" hidden="1" outlineLevel="1">
      <c r="A30" s="6" t="s">
        <v>121</v>
      </c>
      <c r="B30" s="105">
        <v>118644.07</v>
      </c>
      <c r="C30" s="209">
        <v>26875.394419889493</v>
      </c>
      <c r="D30" s="209">
        <v>7865.905193370167</v>
      </c>
      <c r="E30" s="209">
        <f t="shared" si="5"/>
        <v>19009.489226519327</v>
      </c>
      <c r="F30" s="209">
        <f t="shared" si="6"/>
        <v>7865.905193370167</v>
      </c>
      <c r="G30" s="209">
        <f t="shared" si="7"/>
        <v>11143.58403314916</v>
      </c>
      <c r="H30" s="209">
        <f t="shared" si="8"/>
        <v>15076.536629834243</v>
      </c>
      <c r="I30" s="89"/>
      <c r="J30" s="899"/>
    </row>
    <row r="31" spans="1:10" ht="12.75" hidden="1" outlineLevel="1">
      <c r="A31" s="215" t="s">
        <v>56</v>
      </c>
      <c r="B31" s="213">
        <v>374400.72</v>
      </c>
      <c r="C31" s="209">
        <v>3094.2902479338954</v>
      </c>
      <c r="D31" s="209">
        <v>3094.2902479338954</v>
      </c>
      <c r="E31" s="209">
        <f t="shared" si="5"/>
        <v>0</v>
      </c>
      <c r="F31" s="209">
        <f t="shared" si="6"/>
        <v>0</v>
      </c>
      <c r="G31" s="209">
        <f t="shared" si="7"/>
        <v>0</v>
      </c>
      <c r="H31" s="209">
        <f t="shared" si="8"/>
        <v>0</v>
      </c>
      <c r="I31" s="89"/>
      <c r="J31" s="899"/>
    </row>
    <row r="32" spans="1:10" ht="12.75" hidden="1" outlineLevel="1">
      <c r="A32" s="215" t="s">
        <v>56</v>
      </c>
      <c r="B32" s="213">
        <v>374400.72</v>
      </c>
      <c r="C32" s="209">
        <v>3094.2902479338954</v>
      </c>
      <c r="D32" s="209">
        <v>3094.2902479338954</v>
      </c>
      <c r="E32" s="209">
        <f t="shared" si="5"/>
        <v>0</v>
      </c>
      <c r="F32" s="209">
        <f t="shared" si="6"/>
        <v>0</v>
      </c>
      <c r="G32" s="209">
        <f t="shared" si="7"/>
        <v>0</v>
      </c>
      <c r="H32" s="209">
        <f t="shared" si="8"/>
        <v>0</v>
      </c>
      <c r="I32" s="89"/>
      <c r="J32" s="899"/>
    </row>
    <row r="33" spans="1:10" ht="25.5" hidden="1" outlineLevel="1">
      <c r="A33" s="215" t="s">
        <v>172</v>
      </c>
      <c r="B33" s="213">
        <v>145258.35</v>
      </c>
      <c r="C33" s="209">
        <v>40816.590000000026</v>
      </c>
      <c r="D33" s="209">
        <v>14405.76</v>
      </c>
      <c r="E33" s="209">
        <f t="shared" si="5"/>
        <v>26410.830000000024</v>
      </c>
      <c r="F33" s="209">
        <f t="shared" si="6"/>
        <v>14405.76</v>
      </c>
      <c r="G33" s="209">
        <f t="shared" si="7"/>
        <v>12005.070000000023</v>
      </c>
      <c r="H33" s="209">
        <f t="shared" si="8"/>
        <v>19207.950000000023</v>
      </c>
      <c r="I33" s="89"/>
      <c r="J33" s="899"/>
    </row>
    <row r="34" spans="1:10" ht="12.75" hidden="1" outlineLevel="1">
      <c r="A34" s="215" t="s">
        <v>173</v>
      </c>
      <c r="B34" s="213">
        <v>725449.01</v>
      </c>
      <c r="C34" s="209">
        <v>203844.8599999999</v>
      </c>
      <c r="D34" s="209">
        <v>71945.4</v>
      </c>
      <c r="E34" s="209">
        <f t="shared" si="5"/>
        <v>131899.4599999999</v>
      </c>
      <c r="F34" s="209">
        <f t="shared" si="6"/>
        <v>71945.4</v>
      </c>
      <c r="G34" s="209">
        <f t="shared" si="7"/>
        <v>59954.05999999991</v>
      </c>
      <c r="H34" s="209">
        <f t="shared" si="8"/>
        <v>95926.75999999991</v>
      </c>
      <c r="I34" s="89"/>
      <c r="J34" s="899"/>
    </row>
    <row r="35" spans="1:10" ht="12.75" hidden="1" outlineLevel="1">
      <c r="A35" s="215" t="s">
        <v>174</v>
      </c>
      <c r="B35" s="213">
        <v>695489.02</v>
      </c>
      <c r="C35" s="209">
        <v>195426.94</v>
      </c>
      <c r="D35" s="209">
        <v>68974.08</v>
      </c>
      <c r="E35" s="209">
        <f t="shared" si="5"/>
        <v>126452.86</v>
      </c>
      <c r="F35" s="209">
        <f t="shared" si="6"/>
        <v>68974.08</v>
      </c>
      <c r="G35" s="209">
        <f t="shared" si="7"/>
        <v>57478.78</v>
      </c>
      <c r="H35" s="209">
        <f t="shared" si="8"/>
        <v>91965.82</v>
      </c>
      <c r="I35" s="89"/>
      <c r="J35" s="899"/>
    </row>
    <row r="36" spans="1:10" ht="12.75" hidden="1" outlineLevel="1">
      <c r="A36" s="215" t="s">
        <v>175</v>
      </c>
      <c r="B36" s="213">
        <v>695489.02</v>
      </c>
      <c r="C36" s="209">
        <v>195426.94</v>
      </c>
      <c r="D36" s="209">
        <v>68974.08</v>
      </c>
      <c r="E36" s="209">
        <f t="shared" si="5"/>
        <v>126452.86</v>
      </c>
      <c r="F36" s="209">
        <f t="shared" si="6"/>
        <v>68974.08</v>
      </c>
      <c r="G36" s="209">
        <f t="shared" si="7"/>
        <v>57478.78</v>
      </c>
      <c r="H36" s="209">
        <f t="shared" si="8"/>
        <v>91965.82</v>
      </c>
      <c r="I36" s="89"/>
      <c r="J36" s="899"/>
    </row>
    <row r="37" spans="1:10" ht="12.75" hidden="1" outlineLevel="1">
      <c r="A37" s="215" t="s">
        <v>176</v>
      </c>
      <c r="B37" s="213">
        <v>695489.02</v>
      </c>
      <c r="C37" s="209">
        <v>195426.94</v>
      </c>
      <c r="D37" s="209">
        <v>68974.08</v>
      </c>
      <c r="E37" s="209">
        <f t="shared" si="5"/>
        <v>126452.86</v>
      </c>
      <c r="F37" s="209">
        <f t="shared" si="6"/>
        <v>68974.08</v>
      </c>
      <c r="G37" s="209">
        <f t="shared" si="7"/>
        <v>57478.78</v>
      </c>
      <c r="H37" s="209">
        <f t="shared" si="8"/>
        <v>91965.82</v>
      </c>
      <c r="I37" s="89"/>
      <c r="J37" s="899"/>
    </row>
    <row r="38" spans="1:10" ht="12.75" hidden="1" outlineLevel="1">
      <c r="A38" s="215" t="s">
        <v>177</v>
      </c>
      <c r="B38" s="213">
        <v>695489.02</v>
      </c>
      <c r="C38" s="209">
        <v>195426.94</v>
      </c>
      <c r="D38" s="209">
        <v>68974.08</v>
      </c>
      <c r="E38" s="209">
        <f t="shared" si="5"/>
        <v>126452.86</v>
      </c>
      <c r="F38" s="209">
        <f t="shared" si="6"/>
        <v>68974.08</v>
      </c>
      <c r="G38" s="209">
        <f t="shared" si="7"/>
        <v>57478.78</v>
      </c>
      <c r="H38" s="209">
        <f t="shared" si="8"/>
        <v>91965.82</v>
      </c>
      <c r="I38" s="89"/>
      <c r="J38" s="899"/>
    </row>
    <row r="39" spans="1:10" ht="12.75" hidden="1" outlineLevel="1">
      <c r="A39" s="215" t="s">
        <v>178</v>
      </c>
      <c r="B39" s="213">
        <v>695489.02</v>
      </c>
      <c r="C39" s="209">
        <v>195426.94</v>
      </c>
      <c r="D39" s="209">
        <v>68974.08</v>
      </c>
      <c r="E39" s="209">
        <f t="shared" si="5"/>
        <v>126452.86</v>
      </c>
      <c r="F39" s="209">
        <f t="shared" si="6"/>
        <v>68974.08</v>
      </c>
      <c r="G39" s="209">
        <f t="shared" si="7"/>
        <v>57478.78</v>
      </c>
      <c r="H39" s="209">
        <f t="shared" si="8"/>
        <v>91965.82</v>
      </c>
      <c r="I39" s="89"/>
      <c r="J39" s="899"/>
    </row>
    <row r="40" spans="1:10" ht="12.75" hidden="1" outlineLevel="1">
      <c r="A40" s="215" t="s">
        <v>179</v>
      </c>
      <c r="B40" s="213">
        <v>708078.69</v>
      </c>
      <c r="C40" s="209">
        <v>198964.25999999995</v>
      </c>
      <c r="D40" s="209">
        <v>70222.68000000001</v>
      </c>
      <c r="E40" s="209">
        <f t="shared" si="5"/>
        <v>128741.57999999994</v>
      </c>
      <c r="F40" s="209">
        <f t="shared" si="6"/>
        <v>70222.68000000001</v>
      </c>
      <c r="G40" s="209">
        <f t="shared" si="7"/>
        <v>58518.899999999936</v>
      </c>
      <c r="H40" s="209">
        <f t="shared" si="8"/>
        <v>93630.23999999993</v>
      </c>
      <c r="I40" s="89"/>
      <c r="J40" s="899"/>
    </row>
    <row r="41" spans="1:10" ht="12.75" hidden="1" outlineLevel="1">
      <c r="A41" s="215" t="s">
        <v>180</v>
      </c>
      <c r="B41" s="213">
        <v>703953.72</v>
      </c>
      <c r="C41" s="209">
        <v>197805.12000000008</v>
      </c>
      <c r="D41" s="209">
        <v>69813.6</v>
      </c>
      <c r="E41" s="209">
        <f t="shared" si="5"/>
        <v>127991.52000000008</v>
      </c>
      <c r="F41" s="209">
        <f t="shared" si="6"/>
        <v>69813.6</v>
      </c>
      <c r="G41" s="209">
        <f t="shared" si="7"/>
        <v>58177.92000000007</v>
      </c>
      <c r="H41" s="209">
        <f t="shared" si="8"/>
        <v>93084.72000000007</v>
      </c>
      <c r="I41" s="89"/>
      <c r="J41" s="899"/>
    </row>
    <row r="42" spans="1:10" ht="12.75" hidden="1" outlineLevel="1">
      <c r="A42" s="215" t="s">
        <v>181</v>
      </c>
      <c r="B42" s="213">
        <v>168125.92</v>
      </c>
      <c r="C42" s="209">
        <v>47242.03</v>
      </c>
      <c r="D42" s="209">
        <v>16673.64</v>
      </c>
      <c r="E42" s="209">
        <f t="shared" si="5"/>
        <v>30568.39</v>
      </c>
      <c r="F42" s="209">
        <f t="shared" si="6"/>
        <v>16673.64</v>
      </c>
      <c r="G42" s="209">
        <f t="shared" si="7"/>
        <v>13894.75</v>
      </c>
      <c r="H42" s="209">
        <f t="shared" si="8"/>
        <v>22231.57</v>
      </c>
      <c r="I42" s="89"/>
      <c r="J42" s="899"/>
    </row>
    <row r="43" spans="1:10" ht="12.75" hidden="1" outlineLevel="1">
      <c r="A43" s="215" t="s">
        <v>182</v>
      </c>
      <c r="B43" s="213">
        <v>340167.97</v>
      </c>
      <c r="C43" s="209">
        <v>95583.99999999997</v>
      </c>
      <c r="D43" s="209">
        <v>33735.72</v>
      </c>
      <c r="E43" s="209">
        <f t="shared" si="5"/>
        <v>61848.27999999997</v>
      </c>
      <c r="F43" s="209">
        <f t="shared" si="6"/>
        <v>33735.72</v>
      </c>
      <c r="G43" s="209">
        <f t="shared" si="7"/>
        <v>28112.55999999997</v>
      </c>
      <c r="H43" s="209">
        <f t="shared" si="8"/>
        <v>44980.41999999997</v>
      </c>
      <c r="I43" s="89"/>
      <c r="J43" s="899"/>
    </row>
    <row r="44" spans="1:10" ht="12.75" hidden="1" outlineLevel="1">
      <c r="A44" s="215" t="s">
        <v>183</v>
      </c>
      <c r="B44" s="213">
        <v>340167.97</v>
      </c>
      <c r="C44" s="209">
        <v>95583.99999999997</v>
      </c>
      <c r="D44" s="209">
        <v>33735.72</v>
      </c>
      <c r="E44" s="209">
        <f t="shared" si="5"/>
        <v>61848.27999999997</v>
      </c>
      <c r="F44" s="209">
        <f t="shared" si="6"/>
        <v>33735.72</v>
      </c>
      <c r="G44" s="209">
        <f t="shared" si="7"/>
        <v>28112.55999999997</v>
      </c>
      <c r="H44" s="209">
        <f t="shared" si="8"/>
        <v>44980.41999999997</v>
      </c>
      <c r="I44" s="89"/>
      <c r="J44" s="899"/>
    </row>
    <row r="45" spans="1:10" ht="12.75" hidden="1" outlineLevel="1">
      <c r="A45" s="215" t="s">
        <v>184</v>
      </c>
      <c r="B45" s="213">
        <v>199962.62</v>
      </c>
      <c r="C45" s="209">
        <v>56188.159999999996</v>
      </c>
      <c r="D45" s="209">
        <v>19830.96</v>
      </c>
      <c r="E45" s="209">
        <f t="shared" si="5"/>
        <v>36357.2</v>
      </c>
      <c r="F45" s="209">
        <f t="shared" si="6"/>
        <v>19830.96</v>
      </c>
      <c r="G45" s="209">
        <f t="shared" si="7"/>
        <v>16526.239999999998</v>
      </c>
      <c r="H45" s="209">
        <f t="shared" si="8"/>
        <v>26441.719999999998</v>
      </c>
      <c r="I45" s="89"/>
      <c r="J45" s="899"/>
    </row>
    <row r="46" spans="1:10" ht="25.5" hidden="1" outlineLevel="1">
      <c r="A46" s="215" t="s">
        <v>6</v>
      </c>
      <c r="B46" s="213">
        <v>42364.13</v>
      </c>
      <c r="C46" s="209">
        <v>14354.529999999986</v>
      </c>
      <c r="D46" s="209">
        <v>4201.4400000000005</v>
      </c>
      <c r="E46" s="209">
        <f t="shared" si="5"/>
        <v>10153.089999999986</v>
      </c>
      <c r="F46" s="209">
        <f t="shared" si="6"/>
        <v>4201.4400000000005</v>
      </c>
      <c r="G46" s="209">
        <f t="shared" si="7"/>
        <v>5951.649999999985</v>
      </c>
      <c r="H46" s="209">
        <f t="shared" si="8"/>
        <v>8052.369999999985</v>
      </c>
      <c r="I46" s="89"/>
      <c r="J46" s="899"/>
    </row>
    <row r="47" spans="1:10" ht="25.5" hidden="1" outlineLevel="1">
      <c r="A47" s="215" t="s">
        <v>7</v>
      </c>
      <c r="B47" s="213">
        <v>42364.13</v>
      </c>
      <c r="C47" s="209">
        <v>14354.529999999986</v>
      </c>
      <c r="D47" s="209">
        <v>4201.4400000000005</v>
      </c>
      <c r="E47" s="209">
        <f t="shared" si="5"/>
        <v>10153.089999999986</v>
      </c>
      <c r="F47" s="209">
        <f t="shared" si="6"/>
        <v>4201.4400000000005</v>
      </c>
      <c r="G47" s="209">
        <f t="shared" si="7"/>
        <v>5951.649999999985</v>
      </c>
      <c r="H47" s="209">
        <f t="shared" si="8"/>
        <v>8052.369999999985</v>
      </c>
      <c r="I47" s="89"/>
      <c r="J47" s="899"/>
    </row>
    <row r="48" spans="1:10" ht="25.5" hidden="1" outlineLevel="1">
      <c r="A48" s="215" t="s">
        <v>8</v>
      </c>
      <c r="B48" s="213">
        <v>42364.13</v>
      </c>
      <c r="C48" s="209">
        <v>14354.529999999986</v>
      </c>
      <c r="D48" s="209">
        <v>4201.4400000000005</v>
      </c>
      <c r="E48" s="209">
        <f t="shared" si="5"/>
        <v>10153.089999999986</v>
      </c>
      <c r="F48" s="209">
        <f t="shared" si="6"/>
        <v>4201.4400000000005</v>
      </c>
      <c r="G48" s="209">
        <f t="shared" si="7"/>
        <v>5951.649999999985</v>
      </c>
      <c r="H48" s="209">
        <f t="shared" si="8"/>
        <v>8052.369999999985</v>
      </c>
      <c r="I48" s="89"/>
      <c r="J48" s="899"/>
    </row>
    <row r="49" spans="1:10" ht="25.5" hidden="1" outlineLevel="1">
      <c r="A49" s="215" t="s">
        <v>9</v>
      </c>
      <c r="B49" s="213">
        <v>42364.13</v>
      </c>
      <c r="C49" s="209">
        <v>14354.529999999986</v>
      </c>
      <c r="D49" s="209">
        <v>4201.4400000000005</v>
      </c>
      <c r="E49" s="209">
        <f t="shared" si="5"/>
        <v>10153.089999999986</v>
      </c>
      <c r="F49" s="209">
        <f t="shared" si="6"/>
        <v>4201.4400000000005</v>
      </c>
      <c r="G49" s="209">
        <f t="shared" si="7"/>
        <v>5951.649999999985</v>
      </c>
      <c r="H49" s="209">
        <f t="shared" si="8"/>
        <v>8052.369999999985</v>
      </c>
      <c r="I49" s="89"/>
      <c r="J49" s="899"/>
    </row>
    <row r="50" spans="1:10" ht="25.5" hidden="1" outlineLevel="1">
      <c r="A50" s="215" t="s">
        <v>10</v>
      </c>
      <c r="B50" s="213">
        <v>42364.13</v>
      </c>
      <c r="C50" s="209">
        <v>14354.529999999986</v>
      </c>
      <c r="D50" s="209">
        <v>4201.4400000000005</v>
      </c>
      <c r="E50" s="209">
        <f t="shared" si="5"/>
        <v>10153.089999999986</v>
      </c>
      <c r="F50" s="209">
        <f t="shared" si="6"/>
        <v>4201.4400000000005</v>
      </c>
      <c r="G50" s="209">
        <f t="shared" si="7"/>
        <v>5951.649999999985</v>
      </c>
      <c r="H50" s="209">
        <f t="shared" si="8"/>
        <v>8052.369999999985</v>
      </c>
      <c r="I50" s="89"/>
      <c r="J50" s="899"/>
    </row>
    <row r="51" spans="1:10" ht="25.5" hidden="1" outlineLevel="1">
      <c r="A51" s="215" t="s">
        <v>11</v>
      </c>
      <c r="B51" s="213">
        <v>725174.45</v>
      </c>
      <c r="C51" s="209">
        <v>432700.67999999993</v>
      </c>
      <c r="D51" s="209">
        <v>48077.88</v>
      </c>
      <c r="E51" s="209">
        <f t="shared" si="5"/>
        <v>384622.79999999993</v>
      </c>
      <c r="F51" s="209">
        <f t="shared" si="6"/>
        <v>48077.88</v>
      </c>
      <c r="G51" s="209">
        <f t="shared" si="7"/>
        <v>336544.9199999999</v>
      </c>
      <c r="H51" s="209">
        <f t="shared" si="8"/>
        <v>360583.8599999999</v>
      </c>
      <c r="I51" s="89"/>
      <c r="J51" s="899"/>
    </row>
    <row r="52" spans="1:10" ht="12.75" hidden="1" outlineLevel="2">
      <c r="A52" s="215" t="s">
        <v>12</v>
      </c>
      <c r="B52" s="213">
        <v>147123.24</v>
      </c>
      <c r="C52" s="209">
        <v>55931.49000000004</v>
      </c>
      <c r="D52" s="209">
        <v>14590.68</v>
      </c>
      <c r="E52" s="209">
        <f t="shared" si="5"/>
        <v>41340.81000000004</v>
      </c>
      <c r="F52" s="209">
        <f t="shared" si="6"/>
        <v>14590.68</v>
      </c>
      <c r="G52" s="209">
        <f t="shared" si="7"/>
        <v>26750.13000000004</v>
      </c>
      <c r="H52" s="209">
        <f t="shared" si="8"/>
        <v>34045.470000000045</v>
      </c>
      <c r="I52" s="89"/>
      <c r="J52" s="899"/>
    </row>
    <row r="53" spans="1:10" ht="12.75" hidden="1" outlineLevel="2">
      <c r="A53" s="215" t="s">
        <v>13</v>
      </c>
      <c r="B53" s="213">
        <v>803584.83</v>
      </c>
      <c r="C53" s="209">
        <v>305494.82999999984</v>
      </c>
      <c r="D53" s="209">
        <v>79694.4</v>
      </c>
      <c r="E53" s="209">
        <f t="shared" si="5"/>
        <v>225800.42999999985</v>
      </c>
      <c r="F53" s="209">
        <f t="shared" si="6"/>
        <v>79694.4</v>
      </c>
      <c r="G53" s="209">
        <f t="shared" si="7"/>
        <v>146106.02999999985</v>
      </c>
      <c r="H53" s="209">
        <f t="shared" si="8"/>
        <v>185953.22999999986</v>
      </c>
      <c r="I53" s="89"/>
      <c r="J53" s="899"/>
    </row>
    <row r="54" spans="1:10" ht="12.75" hidden="1" outlineLevel="2">
      <c r="A54" s="215" t="s">
        <v>14</v>
      </c>
      <c r="B54" s="213">
        <v>769686.34</v>
      </c>
      <c r="C54" s="209">
        <v>292608.3400000001</v>
      </c>
      <c r="D54" s="209">
        <v>76332.48</v>
      </c>
      <c r="E54" s="209">
        <f t="shared" si="5"/>
        <v>216275.8600000001</v>
      </c>
      <c r="F54" s="209">
        <f t="shared" si="6"/>
        <v>76332.48</v>
      </c>
      <c r="G54" s="209">
        <f t="shared" si="7"/>
        <v>139943.38000000012</v>
      </c>
      <c r="H54" s="209">
        <f t="shared" si="8"/>
        <v>178109.6200000001</v>
      </c>
      <c r="I54" s="89"/>
      <c r="J54" s="899"/>
    </row>
    <row r="55" spans="1:10" ht="12.75" hidden="1" outlineLevel="2">
      <c r="A55" s="215" t="s">
        <v>15</v>
      </c>
      <c r="B55" s="213">
        <v>769686.34</v>
      </c>
      <c r="C55" s="209">
        <v>292608.3400000001</v>
      </c>
      <c r="D55" s="209">
        <v>76332.48</v>
      </c>
      <c r="E55" s="209">
        <f t="shared" si="5"/>
        <v>216275.8600000001</v>
      </c>
      <c r="F55" s="209">
        <f t="shared" si="6"/>
        <v>76332.48</v>
      </c>
      <c r="G55" s="209">
        <f t="shared" si="7"/>
        <v>139943.38000000012</v>
      </c>
      <c r="H55" s="209">
        <f t="shared" si="8"/>
        <v>178109.6200000001</v>
      </c>
      <c r="I55" s="89"/>
      <c r="J55" s="899"/>
    </row>
    <row r="56" spans="1:10" ht="12.75" hidden="1" outlineLevel="2">
      <c r="A56" s="215" t="s">
        <v>16</v>
      </c>
      <c r="B56" s="213">
        <v>769686.34</v>
      </c>
      <c r="C56" s="209">
        <v>292608.3400000001</v>
      </c>
      <c r="D56" s="209">
        <v>76332.48</v>
      </c>
      <c r="E56" s="209">
        <f t="shared" si="5"/>
        <v>216275.8600000001</v>
      </c>
      <c r="F56" s="209">
        <f t="shared" si="6"/>
        <v>76332.48</v>
      </c>
      <c r="G56" s="209">
        <f t="shared" si="7"/>
        <v>139943.38000000012</v>
      </c>
      <c r="H56" s="209">
        <f t="shared" si="8"/>
        <v>178109.6200000001</v>
      </c>
      <c r="I56" s="89"/>
      <c r="J56" s="899"/>
    </row>
    <row r="57" spans="1:10" ht="12.75" hidden="1" outlineLevel="2">
      <c r="A57" s="215" t="s">
        <v>17</v>
      </c>
      <c r="B57" s="213">
        <v>769686.34</v>
      </c>
      <c r="C57" s="209">
        <v>292608.3400000001</v>
      </c>
      <c r="D57" s="209">
        <v>76332.48</v>
      </c>
      <c r="E57" s="209">
        <f t="shared" si="5"/>
        <v>216275.8600000001</v>
      </c>
      <c r="F57" s="209">
        <f t="shared" si="6"/>
        <v>76332.48</v>
      </c>
      <c r="G57" s="209">
        <f t="shared" si="7"/>
        <v>139943.38000000012</v>
      </c>
      <c r="H57" s="209">
        <f t="shared" si="8"/>
        <v>178109.6200000001</v>
      </c>
      <c r="I57" s="89"/>
      <c r="J57" s="899"/>
    </row>
    <row r="58" spans="1:10" ht="12.75" hidden="1" outlineLevel="2">
      <c r="A58" s="215" t="s">
        <v>18</v>
      </c>
      <c r="B58" s="213">
        <v>769686.34</v>
      </c>
      <c r="C58" s="209">
        <v>292608.3400000001</v>
      </c>
      <c r="D58" s="209">
        <v>76332.48</v>
      </c>
      <c r="E58" s="209">
        <f t="shared" si="5"/>
        <v>216275.8600000001</v>
      </c>
      <c r="F58" s="209">
        <f t="shared" si="6"/>
        <v>76332.48</v>
      </c>
      <c r="G58" s="209">
        <f t="shared" si="7"/>
        <v>139943.38000000012</v>
      </c>
      <c r="H58" s="209">
        <f t="shared" si="8"/>
        <v>178109.6200000001</v>
      </c>
      <c r="I58" s="89"/>
      <c r="J58" s="899"/>
    </row>
    <row r="59" spans="1:10" ht="12.75" hidden="1" outlineLevel="2">
      <c r="A59" s="215" t="s">
        <v>19</v>
      </c>
      <c r="B59" s="894">
        <v>783931.03</v>
      </c>
      <c r="C59" s="209">
        <v>298023.28</v>
      </c>
      <c r="D59" s="209">
        <v>77745.24</v>
      </c>
      <c r="E59" s="209">
        <f t="shared" si="5"/>
        <v>220278.04000000004</v>
      </c>
      <c r="F59" s="209">
        <f t="shared" si="6"/>
        <v>77745.24</v>
      </c>
      <c r="G59" s="209">
        <f t="shared" si="7"/>
        <v>142532.80000000005</v>
      </c>
      <c r="H59" s="209">
        <f t="shared" si="8"/>
        <v>181405.42000000004</v>
      </c>
      <c r="I59" s="89"/>
      <c r="J59" s="899"/>
    </row>
    <row r="60" spans="1:10" ht="12.75" hidden="1" outlineLevel="2">
      <c r="A60" s="215" t="s">
        <v>20</v>
      </c>
      <c r="B60" s="213">
        <v>263602.78</v>
      </c>
      <c r="C60" s="209">
        <v>100212.27999999997</v>
      </c>
      <c r="D60" s="209">
        <v>26142.48</v>
      </c>
      <c r="E60" s="209">
        <f t="shared" si="5"/>
        <v>74069.79999999997</v>
      </c>
      <c r="F60" s="209">
        <f t="shared" si="6"/>
        <v>26142.48</v>
      </c>
      <c r="G60" s="209">
        <f t="shared" si="7"/>
        <v>47927.31999999998</v>
      </c>
      <c r="H60" s="209">
        <f t="shared" si="8"/>
        <v>60998.559999999976</v>
      </c>
      <c r="I60" s="89"/>
      <c r="J60" s="899"/>
    </row>
    <row r="61" spans="1:10" ht="12.75" hidden="1" outlineLevel="2">
      <c r="A61" s="215" t="s">
        <v>21</v>
      </c>
      <c r="B61" s="213">
        <v>444570.56</v>
      </c>
      <c r="C61" s="209">
        <v>169010.06000000006</v>
      </c>
      <c r="D61" s="209">
        <v>44089.68</v>
      </c>
      <c r="E61" s="209">
        <f aca="true" t="shared" si="9" ref="E61:E124">C61-D61</f>
        <v>124920.38000000006</v>
      </c>
      <c r="F61" s="209">
        <f aca="true" t="shared" si="10" ref="F61:F124">IF(D61&lt;=E61,D61,E61)</f>
        <v>44089.68</v>
      </c>
      <c r="G61" s="209">
        <f t="shared" si="7"/>
        <v>80830.70000000007</v>
      </c>
      <c r="H61" s="209">
        <f t="shared" si="8"/>
        <v>102875.54000000007</v>
      </c>
      <c r="I61" s="89"/>
      <c r="J61" s="899"/>
    </row>
    <row r="62" spans="1:10" ht="12.75" hidden="1" outlineLevel="2">
      <c r="A62" s="215" t="s">
        <v>22</v>
      </c>
      <c r="B62" s="213">
        <v>444570.56</v>
      </c>
      <c r="C62" s="209">
        <v>169010.06000000006</v>
      </c>
      <c r="D62" s="209">
        <v>44089.68</v>
      </c>
      <c r="E62" s="209">
        <f t="shared" si="9"/>
        <v>124920.38000000006</v>
      </c>
      <c r="F62" s="209">
        <f t="shared" si="10"/>
        <v>44089.68</v>
      </c>
      <c r="G62" s="209">
        <f t="shared" si="7"/>
        <v>80830.70000000007</v>
      </c>
      <c r="H62" s="209">
        <f t="shared" si="8"/>
        <v>102875.54000000007</v>
      </c>
      <c r="I62" s="89"/>
      <c r="J62" s="899"/>
    </row>
    <row r="63" spans="1:10" ht="12.75" hidden="1" outlineLevel="2">
      <c r="A63" s="215" t="s">
        <v>23</v>
      </c>
      <c r="B63" s="213">
        <v>68161.63</v>
      </c>
      <c r="C63" s="209">
        <v>25912.630000000012</v>
      </c>
      <c r="D63" s="209">
        <v>6759.84</v>
      </c>
      <c r="E63" s="209">
        <f t="shared" si="9"/>
        <v>19152.79000000001</v>
      </c>
      <c r="F63" s="209">
        <f t="shared" si="10"/>
        <v>6759.84</v>
      </c>
      <c r="G63" s="209">
        <f t="shared" si="7"/>
        <v>12392.950000000012</v>
      </c>
      <c r="H63" s="209">
        <f t="shared" si="8"/>
        <v>15772.870000000012</v>
      </c>
      <c r="I63" s="89"/>
      <c r="J63" s="899"/>
    </row>
    <row r="64" spans="1:10" ht="25.5" hidden="1" outlineLevel="2">
      <c r="A64" s="215" t="s">
        <v>24</v>
      </c>
      <c r="B64" s="213">
        <v>42364.14</v>
      </c>
      <c r="C64" s="209">
        <v>14354.539999999988</v>
      </c>
      <c r="D64" s="209">
        <v>4201.4400000000005</v>
      </c>
      <c r="E64" s="209">
        <f t="shared" si="9"/>
        <v>10153.099999999988</v>
      </c>
      <c r="F64" s="209">
        <f t="shared" si="10"/>
        <v>4201.4400000000005</v>
      </c>
      <c r="G64" s="209">
        <f t="shared" si="7"/>
        <v>5951.659999999987</v>
      </c>
      <c r="H64" s="209">
        <f t="shared" si="8"/>
        <v>8052.379999999987</v>
      </c>
      <c r="I64" s="89"/>
      <c r="J64" s="900"/>
    </row>
    <row r="65" spans="1:10" ht="12.75" hidden="1" outlineLevel="2">
      <c r="A65" s="212" t="s">
        <v>230</v>
      </c>
      <c r="B65" s="213">
        <v>40001</v>
      </c>
      <c r="C65" s="209">
        <v>27667.42</v>
      </c>
      <c r="D65" s="209">
        <v>4000.08</v>
      </c>
      <c r="E65" s="209">
        <f t="shared" si="9"/>
        <v>23667.339999999997</v>
      </c>
      <c r="F65" s="209">
        <f t="shared" si="10"/>
        <v>4000.08</v>
      </c>
      <c r="G65" s="209">
        <f t="shared" si="7"/>
        <v>19667.259999999995</v>
      </c>
      <c r="H65" s="209">
        <f t="shared" si="8"/>
        <v>21667.299999999996</v>
      </c>
      <c r="I65" s="89"/>
      <c r="J65" s="900"/>
    </row>
    <row r="66" spans="1:10" ht="12.75" hidden="1" outlineLevel="2">
      <c r="A66" s="212" t="s">
        <v>231</v>
      </c>
      <c r="B66" s="213">
        <v>40001</v>
      </c>
      <c r="C66" s="209">
        <v>27667.42</v>
      </c>
      <c r="D66" s="209">
        <v>4000.08</v>
      </c>
      <c r="E66" s="209">
        <f t="shared" si="9"/>
        <v>23667.339999999997</v>
      </c>
      <c r="F66" s="209">
        <f t="shared" si="10"/>
        <v>4000.08</v>
      </c>
      <c r="G66" s="209">
        <f t="shared" si="7"/>
        <v>19667.259999999995</v>
      </c>
      <c r="H66" s="209">
        <f t="shared" si="8"/>
        <v>21667.299999999996</v>
      </c>
      <c r="I66" s="89"/>
      <c r="J66" s="900"/>
    </row>
    <row r="67" spans="1:10" ht="12.75" hidden="1" outlineLevel="2">
      <c r="A67" s="212" t="s">
        <v>232</v>
      </c>
      <c r="B67" s="213">
        <v>40001</v>
      </c>
      <c r="C67" s="209">
        <v>27667.42</v>
      </c>
      <c r="D67" s="209">
        <v>4000.08</v>
      </c>
      <c r="E67" s="209">
        <f t="shared" si="9"/>
        <v>23667.339999999997</v>
      </c>
      <c r="F67" s="209">
        <f t="shared" si="10"/>
        <v>4000.08</v>
      </c>
      <c r="G67" s="209">
        <f t="shared" si="7"/>
        <v>19667.259999999995</v>
      </c>
      <c r="H67" s="209">
        <f t="shared" si="8"/>
        <v>21667.299999999996</v>
      </c>
      <c r="I67" s="89"/>
      <c r="J67" s="900"/>
    </row>
    <row r="68" spans="1:10" ht="12.75" hidden="1" outlineLevel="2">
      <c r="A68" s="212" t="s">
        <v>233</v>
      </c>
      <c r="B68" s="213">
        <v>40001</v>
      </c>
      <c r="C68" s="209">
        <v>27667.42</v>
      </c>
      <c r="D68" s="209">
        <v>4000.08</v>
      </c>
      <c r="E68" s="209">
        <f t="shared" si="9"/>
        <v>23667.339999999997</v>
      </c>
      <c r="F68" s="209">
        <f t="shared" si="10"/>
        <v>4000.08</v>
      </c>
      <c r="G68" s="209">
        <f t="shared" si="7"/>
        <v>19667.259999999995</v>
      </c>
      <c r="H68" s="209">
        <f t="shared" si="8"/>
        <v>21667.299999999996</v>
      </c>
      <c r="I68" s="89"/>
      <c r="J68" s="900"/>
    </row>
    <row r="69" spans="1:10" ht="25.5" hidden="1" outlineLevel="2">
      <c r="A69" s="212" t="s">
        <v>236</v>
      </c>
      <c r="B69" s="213">
        <v>40001</v>
      </c>
      <c r="C69" s="209">
        <v>31778.489999999994</v>
      </c>
      <c r="D69" s="209">
        <v>2666.7599999999998</v>
      </c>
      <c r="E69" s="209">
        <f t="shared" si="9"/>
        <v>29111.729999999996</v>
      </c>
      <c r="F69" s="209">
        <f t="shared" si="10"/>
        <v>2666.7599999999998</v>
      </c>
      <c r="G69" s="209">
        <f t="shared" si="7"/>
        <v>26444.969999999998</v>
      </c>
      <c r="H69" s="209">
        <f t="shared" si="8"/>
        <v>27778.35</v>
      </c>
      <c r="I69" s="89"/>
      <c r="J69" s="900"/>
    </row>
    <row r="70" spans="1:10" ht="25.5" hidden="1" outlineLevel="2">
      <c r="A70" s="212" t="s">
        <v>237</v>
      </c>
      <c r="B70" s="213">
        <v>40001</v>
      </c>
      <c r="C70" s="209">
        <v>31778.489999999994</v>
      </c>
      <c r="D70" s="209">
        <v>2666.7599999999998</v>
      </c>
      <c r="E70" s="209">
        <f t="shared" si="9"/>
        <v>29111.729999999996</v>
      </c>
      <c r="F70" s="209">
        <f t="shared" si="10"/>
        <v>2666.7599999999998</v>
      </c>
      <c r="G70" s="209">
        <f t="shared" si="7"/>
        <v>26444.969999999998</v>
      </c>
      <c r="H70" s="209">
        <f t="shared" si="8"/>
        <v>27778.35</v>
      </c>
      <c r="I70" s="89"/>
      <c r="J70" s="900"/>
    </row>
    <row r="71" spans="1:10" ht="25.5" hidden="1" outlineLevel="2">
      <c r="A71" s="212" t="s">
        <v>238</v>
      </c>
      <c r="B71" s="213">
        <v>40001</v>
      </c>
      <c r="C71" s="209">
        <v>31778.489999999994</v>
      </c>
      <c r="D71" s="209">
        <v>2666.7599999999998</v>
      </c>
      <c r="E71" s="209">
        <f t="shared" si="9"/>
        <v>29111.729999999996</v>
      </c>
      <c r="F71" s="209">
        <f t="shared" si="10"/>
        <v>2666.7599999999998</v>
      </c>
      <c r="G71" s="209">
        <f t="shared" si="7"/>
        <v>26444.969999999998</v>
      </c>
      <c r="H71" s="209">
        <f t="shared" si="8"/>
        <v>27778.35</v>
      </c>
      <c r="I71" s="89"/>
      <c r="J71" s="900"/>
    </row>
    <row r="72" spans="1:10" ht="25.5" hidden="1" outlineLevel="2">
      <c r="A72" s="212" t="s">
        <v>239</v>
      </c>
      <c r="B72" s="213">
        <v>40001</v>
      </c>
      <c r="C72" s="209">
        <v>31778.489999999994</v>
      </c>
      <c r="D72" s="209">
        <v>2666.7599999999998</v>
      </c>
      <c r="E72" s="209">
        <f t="shared" si="9"/>
        <v>29111.729999999996</v>
      </c>
      <c r="F72" s="209">
        <f t="shared" si="10"/>
        <v>2666.7599999999998</v>
      </c>
      <c r="G72" s="209">
        <f t="shared" si="7"/>
        <v>26444.969999999998</v>
      </c>
      <c r="H72" s="209">
        <f t="shared" si="8"/>
        <v>27778.35</v>
      </c>
      <c r="I72" s="89"/>
      <c r="J72" s="900"/>
    </row>
    <row r="73" spans="1:10" ht="25.5" hidden="1" outlineLevel="2">
      <c r="A73" s="212" t="s">
        <v>240</v>
      </c>
      <c r="B73" s="213">
        <v>40001</v>
      </c>
      <c r="C73" s="209">
        <v>31778.489999999994</v>
      </c>
      <c r="D73" s="209">
        <v>2666.7599999999998</v>
      </c>
      <c r="E73" s="209">
        <f t="shared" si="9"/>
        <v>29111.729999999996</v>
      </c>
      <c r="F73" s="209">
        <f t="shared" si="10"/>
        <v>2666.7599999999998</v>
      </c>
      <c r="G73" s="209">
        <f t="shared" si="7"/>
        <v>26444.969999999998</v>
      </c>
      <c r="H73" s="209">
        <f t="shared" si="8"/>
        <v>27778.35</v>
      </c>
      <c r="I73" s="89"/>
      <c r="J73" s="900"/>
    </row>
    <row r="74" spans="1:10" ht="25.5" hidden="1" outlineLevel="2">
      <c r="A74" s="212" t="s">
        <v>241</v>
      </c>
      <c r="B74" s="213">
        <v>40001</v>
      </c>
      <c r="C74" s="209">
        <v>31778.489999999994</v>
      </c>
      <c r="D74" s="209">
        <v>2666.7599999999998</v>
      </c>
      <c r="E74" s="209">
        <f t="shared" si="9"/>
        <v>29111.729999999996</v>
      </c>
      <c r="F74" s="209">
        <f t="shared" si="10"/>
        <v>2666.7599999999998</v>
      </c>
      <c r="G74" s="209">
        <f t="shared" si="7"/>
        <v>26444.969999999998</v>
      </c>
      <c r="H74" s="209">
        <f t="shared" si="8"/>
        <v>27778.35</v>
      </c>
      <c r="I74" s="89"/>
      <c r="J74" s="900"/>
    </row>
    <row r="75" spans="1:10" ht="25.5" hidden="1" outlineLevel="2">
      <c r="A75" s="212" t="s">
        <v>242</v>
      </c>
      <c r="B75" s="213">
        <v>40001</v>
      </c>
      <c r="C75" s="209">
        <v>31778.489999999994</v>
      </c>
      <c r="D75" s="209">
        <v>2666.7599999999998</v>
      </c>
      <c r="E75" s="209">
        <f t="shared" si="9"/>
        <v>29111.729999999996</v>
      </c>
      <c r="F75" s="209">
        <f t="shared" si="10"/>
        <v>2666.7599999999998</v>
      </c>
      <c r="G75" s="209">
        <f t="shared" si="7"/>
        <v>26444.969999999998</v>
      </c>
      <c r="H75" s="209">
        <f t="shared" si="8"/>
        <v>27778.35</v>
      </c>
      <c r="I75" s="89"/>
      <c r="J75" s="900"/>
    </row>
    <row r="76" spans="1:10" ht="25.5" hidden="1" outlineLevel="2">
      <c r="A76" s="212" t="s">
        <v>243</v>
      </c>
      <c r="B76" s="213">
        <v>40001</v>
      </c>
      <c r="C76" s="209">
        <v>31778.489999999994</v>
      </c>
      <c r="D76" s="209">
        <v>2666.7599999999998</v>
      </c>
      <c r="E76" s="209">
        <f t="shared" si="9"/>
        <v>29111.729999999996</v>
      </c>
      <c r="F76" s="209">
        <f t="shared" si="10"/>
        <v>2666.7599999999998</v>
      </c>
      <c r="G76" s="209">
        <f t="shared" si="7"/>
        <v>26444.969999999998</v>
      </c>
      <c r="H76" s="209">
        <f t="shared" si="8"/>
        <v>27778.35</v>
      </c>
      <c r="I76" s="89"/>
      <c r="J76" s="900"/>
    </row>
    <row r="77" spans="1:10" ht="25.5" hidden="1" outlineLevel="2">
      <c r="A77" s="212" t="s">
        <v>244</v>
      </c>
      <c r="B77" s="213">
        <v>40001</v>
      </c>
      <c r="C77" s="209">
        <v>31778.489999999994</v>
      </c>
      <c r="D77" s="209">
        <v>2666.7599999999998</v>
      </c>
      <c r="E77" s="209">
        <f t="shared" si="9"/>
        <v>29111.729999999996</v>
      </c>
      <c r="F77" s="209">
        <f t="shared" si="10"/>
        <v>2666.7599999999998</v>
      </c>
      <c r="G77" s="209">
        <f t="shared" si="7"/>
        <v>26444.969999999998</v>
      </c>
      <c r="H77" s="209">
        <f t="shared" si="8"/>
        <v>27778.35</v>
      </c>
      <c r="I77" s="89"/>
      <c r="J77" s="900"/>
    </row>
    <row r="78" spans="1:10" ht="25.5" hidden="1" outlineLevel="2">
      <c r="A78" s="212" t="s">
        <v>245</v>
      </c>
      <c r="B78" s="213">
        <v>40001</v>
      </c>
      <c r="C78" s="209">
        <v>31778.489999999994</v>
      </c>
      <c r="D78" s="209">
        <v>2666.7599999999998</v>
      </c>
      <c r="E78" s="209">
        <f t="shared" si="9"/>
        <v>29111.729999999996</v>
      </c>
      <c r="F78" s="209">
        <f t="shared" si="10"/>
        <v>2666.7599999999998</v>
      </c>
      <c r="G78" s="209">
        <f t="shared" si="7"/>
        <v>26444.969999999998</v>
      </c>
      <c r="H78" s="209">
        <f t="shared" si="8"/>
        <v>27778.35</v>
      </c>
      <c r="I78" s="89"/>
      <c r="J78" s="900"/>
    </row>
    <row r="79" spans="1:10" ht="12.75" hidden="1" outlineLevel="2">
      <c r="A79" s="212" t="s">
        <v>246</v>
      </c>
      <c r="B79" s="213">
        <v>40001</v>
      </c>
      <c r="C79" s="209">
        <v>31778.489999999994</v>
      </c>
      <c r="D79" s="209">
        <v>2666.7599999999998</v>
      </c>
      <c r="E79" s="209">
        <f t="shared" si="9"/>
        <v>29111.729999999996</v>
      </c>
      <c r="F79" s="209">
        <f t="shared" si="10"/>
        <v>2666.7599999999998</v>
      </c>
      <c r="G79" s="209">
        <f t="shared" si="7"/>
        <v>26444.969999999998</v>
      </c>
      <c r="H79" s="209">
        <f t="shared" si="8"/>
        <v>27778.35</v>
      </c>
      <c r="I79" s="89"/>
      <c r="J79" s="900"/>
    </row>
    <row r="80" spans="1:10" ht="12.75" hidden="1" outlineLevel="2">
      <c r="A80" s="212" t="s">
        <v>247</v>
      </c>
      <c r="B80" s="213">
        <v>40001</v>
      </c>
      <c r="C80" s="209">
        <v>31778.489999999994</v>
      </c>
      <c r="D80" s="209">
        <v>2666.7599999999998</v>
      </c>
      <c r="E80" s="209">
        <f t="shared" si="9"/>
        <v>29111.729999999996</v>
      </c>
      <c r="F80" s="209">
        <f t="shared" si="10"/>
        <v>2666.7599999999998</v>
      </c>
      <c r="G80" s="209">
        <f t="shared" si="7"/>
        <v>26444.969999999998</v>
      </c>
      <c r="H80" s="209">
        <f t="shared" si="8"/>
        <v>27778.35</v>
      </c>
      <c r="I80" s="89"/>
      <c r="J80" s="900"/>
    </row>
    <row r="81" spans="1:10" ht="12.75" hidden="1" outlineLevel="2">
      <c r="A81" s="212" t="s">
        <v>271</v>
      </c>
      <c r="B81" s="213">
        <v>40001</v>
      </c>
      <c r="C81" s="209">
        <v>31778.489999999994</v>
      </c>
      <c r="D81" s="209">
        <v>2666.7599999999998</v>
      </c>
      <c r="E81" s="209">
        <f t="shared" si="9"/>
        <v>29111.729999999996</v>
      </c>
      <c r="F81" s="209">
        <f t="shared" si="10"/>
        <v>2666.7599999999998</v>
      </c>
      <c r="G81" s="209">
        <f t="shared" si="7"/>
        <v>26444.969999999998</v>
      </c>
      <c r="H81" s="209">
        <f t="shared" si="8"/>
        <v>27778.35</v>
      </c>
      <c r="I81" s="89"/>
      <c r="J81" s="900"/>
    </row>
    <row r="82" spans="1:10" ht="12.75" hidden="1" outlineLevel="2">
      <c r="A82" s="212" t="s">
        <v>272</v>
      </c>
      <c r="B82" s="213">
        <v>40001</v>
      </c>
      <c r="C82" s="209">
        <v>31778.489999999994</v>
      </c>
      <c r="D82" s="209">
        <v>2666.7599999999998</v>
      </c>
      <c r="E82" s="209">
        <f t="shared" si="9"/>
        <v>29111.729999999996</v>
      </c>
      <c r="F82" s="209">
        <f t="shared" si="10"/>
        <v>2666.7599999999998</v>
      </c>
      <c r="G82" s="209">
        <f t="shared" si="7"/>
        <v>26444.969999999998</v>
      </c>
      <c r="H82" s="209">
        <f aca="true" t="shared" si="11" ref="H82:H145">(E82+G82)/2</f>
        <v>27778.35</v>
      </c>
      <c r="I82" s="89"/>
      <c r="J82" s="900"/>
    </row>
    <row r="83" spans="1:10" ht="12.75" hidden="1" outlineLevel="2">
      <c r="A83" s="212" t="s">
        <v>273</v>
      </c>
      <c r="B83" s="213">
        <v>40001</v>
      </c>
      <c r="C83" s="209">
        <v>31778.489999999994</v>
      </c>
      <c r="D83" s="209">
        <v>2666.7599999999998</v>
      </c>
      <c r="E83" s="209">
        <f t="shared" si="9"/>
        <v>29111.729999999996</v>
      </c>
      <c r="F83" s="209">
        <f t="shared" si="10"/>
        <v>2666.7599999999998</v>
      </c>
      <c r="G83" s="209">
        <f aca="true" t="shared" si="12" ref="G83:G146">E83-F83</f>
        <v>26444.969999999998</v>
      </c>
      <c r="H83" s="209">
        <f t="shared" si="11"/>
        <v>27778.35</v>
      </c>
      <c r="I83" s="89"/>
      <c r="J83" s="900"/>
    </row>
    <row r="84" spans="1:10" ht="12.75" hidden="1" outlineLevel="2">
      <c r="A84" s="212" t="s">
        <v>274</v>
      </c>
      <c r="B84" s="213">
        <v>40001</v>
      </c>
      <c r="C84" s="209">
        <v>31778.489999999994</v>
      </c>
      <c r="D84" s="209">
        <v>2666.7599999999998</v>
      </c>
      <c r="E84" s="209">
        <f t="shared" si="9"/>
        <v>29111.729999999996</v>
      </c>
      <c r="F84" s="209">
        <f t="shared" si="10"/>
        <v>2666.7599999999998</v>
      </c>
      <c r="G84" s="209">
        <f t="shared" si="12"/>
        <v>26444.969999999998</v>
      </c>
      <c r="H84" s="209">
        <f t="shared" si="11"/>
        <v>27778.35</v>
      </c>
      <c r="I84" s="89"/>
      <c r="J84" s="900"/>
    </row>
    <row r="85" spans="1:10" ht="12.75" hidden="1" outlineLevel="2">
      <c r="A85" s="212" t="s">
        <v>275</v>
      </c>
      <c r="B85" s="213">
        <v>40001</v>
      </c>
      <c r="C85" s="209">
        <v>31778.489999999994</v>
      </c>
      <c r="D85" s="209">
        <v>2666.7599999999998</v>
      </c>
      <c r="E85" s="209">
        <f t="shared" si="9"/>
        <v>29111.729999999996</v>
      </c>
      <c r="F85" s="209">
        <f t="shared" si="10"/>
        <v>2666.7599999999998</v>
      </c>
      <c r="G85" s="209">
        <f t="shared" si="12"/>
        <v>26444.969999999998</v>
      </c>
      <c r="H85" s="209">
        <f t="shared" si="11"/>
        <v>27778.35</v>
      </c>
      <c r="I85" s="89"/>
      <c r="J85" s="900"/>
    </row>
    <row r="86" spans="1:10" ht="12.75" hidden="1" outlineLevel="2">
      <c r="A86" s="212" t="s">
        <v>276</v>
      </c>
      <c r="B86" s="213">
        <v>40001</v>
      </c>
      <c r="C86" s="209">
        <v>31778.489999999994</v>
      </c>
      <c r="D86" s="209">
        <v>2666.7599999999998</v>
      </c>
      <c r="E86" s="209">
        <f t="shared" si="9"/>
        <v>29111.729999999996</v>
      </c>
      <c r="F86" s="209">
        <f t="shared" si="10"/>
        <v>2666.7599999999998</v>
      </c>
      <c r="G86" s="209">
        <f t="shared" si="12"/>
        <v>26444.969999999998</v>
      </c>
      <c r="H86" s="209">
        <f t="shared" si="11"/>
        <v>27778.35</v>
      </c>
      <c r="I86" s="89"/>
      <c r="J86" s="900"/>
    </row>
    <row r="87" spans="1:10" ht="12.75" hidden="1" outlineLevel="2">
      <c r="A87" s="212" t="s">
        <v>277</v>
      </c>
      <c r="B87" s="213">
        <v>40001</v>
      </c>
      <c r="C87" s="209">
        <v>31778.489999999994</v>
      </c>
      <c r="D87" s="209">
        <v>2666.7599999999998</v>
      </c>
      <c r="E87" s="209">
        <f t="shared" si="9"/>
        <v>29111.729999999996</v>
      </c>
      <c r="F87" s="209">
        <f t="shared" si="10"/>
        <v>2666.7599999999998</v>
      </c>
      <c r="G87" s="209">
        <f t="shared" si="12"/>
        <v>26444.969999999998</v>
      </c>
      <c r="H87" s="209">
        <f t="shared" si="11"/>
        <v>27778.35</v>
      </c>
      <c r="I87" s="89"/>
      <c r="J87" s="900"/>
    </row>
    <row r="88" spans="1:10" ht="12.75" hidden="1" outlineLevel="2">
      <c r="A88" s="212" t="s">
        <v>278</v>
      </c>
      <c r="B88" s="213">
        <v>40001</v>
      </c>
      <c r="C88" s="209">
        <v>31778.489999999994</v>
      </c>
      <c r="D88" s="209">
        <v>2666.7599999999998</v>
      </c>
      <c r="E88" s="209">
        <f t="shared" si="9"/>
        <v>29111.729999999996</v>
      </c>
      <c r="F88" s="209">
        <f t="shared" si="10"/>
        <v>2666.7599999999998</v>
      </c>
      <c r="G88" s="209">
        <f t="shared" si="12"/>
        <v>26444.969999999998</v>
      </c>
      <c r="H88" s="209">
        <f t="shared" si="11"/>
        <v>27778.35</v>
      </c>
      <c r="I88" s="89"/>
      <c r="J88" s="900"/>
    </row>
    <row r="89" spans="1:10" ht="12.75" hidden="1" outlineLevel="2">
      <c r="A89" s="212" t="s">
        <v>279</v>
      </c>
      <c r="B89" s="213">
        <v>40001</v>
      </c>
      <c r="C89" s="209">
        <v>31778.489999999994</v>
      </c>
      <c r="D89" s="209">
        <v>2666.7599999999998</v>
      </c>
      <c r="E89" s="209">
        <f t="shared" si="9"/>
        <v>29111.729999999996</v>
      </c>
      <c r="F89" s="209">
        <f t="shared" si="10"/>
        <v>2666.7599999999998</v>
      </c>
      <c r="G89" s="209">
        <f t="shared" si="12"/>
        <v>26444.969999999998</v>
      </c>
      <c r="H89" s="209">
        <f t="shared" si="11"/>
        <v>27778.35</v>
      </c>
      <c r="I89" s="89"/>
      <c r="J89" s="900"/>
    </row>
    <row r="90" spans="1:10" ht="12.75" hidden="1" outlineLevel="2">
      <c r="A90" s="212" t="s">
        <v>280</v>
      </c>
      <c r="B90" s="213">
        <v>40001</v>
      </c>
      <c r="C90" s="209">
        <v>31778.489999999994</v>
      </c>
      <c r="D90" s="209">
        <v>2666.7599999999998</v>
      </c>
      <c r="E90" s="209">
        <f t="shared" si="9"/>
        <v>29111.729999999996</v>
      </c>
      <c r="F90" s="209">
        <f t="shared" si="10"/>
        <v>2666.7599999999998</v>
      </c>
      <c r="G90" s="209">
        <f t="shared" si="12"/>
        <v>26444.969999999998</v>
      </c>
      <c r="H90" s="209">
        <f t="shared" si="11"/>
        <v>27778.35</v>
      </c>
      <c r="I90" s="89"/>
      <c r="J90" s="900"/>
    </row>
    <row r="91" spans="1:10" ht="12.75" hidden="1" outlineLevel="2">
      <c r="A91" s="212" t="s">
        <v>281</v>
      </c>
      <c r="B91" s="213">
        <v>40001</v>
      </c>
      <c r="C91" s="209">
        <v>31778.489999999994</v>
      </c>
      <c r="D91" s="209">
        <v>2666.7599999999998</v>
      </c>
      <c r="E91" s="209">
        <f t="shared" si="9"/>
        <v>29111.729999999996</v>
      </c>
      <c r="F91" s="209">
        <f t="shared" si="10"/>
        <v>2666.7599999999998</v>
      </c>
      <c r="G91" s="209">
        <f t="shared" si="12"/>
        <v>26444.969999999998</v>
      </c>
      <c r="H91" s="209">
        <f t="shared" si="11"/>
        <v>27778.35</v>
      </c>
      <c r="I91" s="89"/>
      <c r="J91" s="900"/>
    </row>
    <row r="92" spans="1:10" ht="12.75" hidden="1" outlineLevel="2">
      <c r="A92" s="212" t="s">
        <v>282</v>
      </c>
      <c r="B92" s="213">
        <v>40001</v>
      </c>
      <c r="C92" s="209">
        <v>31778.489999999994</v>
      </c>
      <c r="D92" s="209">
        <v>2666.7599999999998</v>
      </c>
      <c r="E92" s="209">
        <f t="shared" si="9"/>
        <v>29111.729999999996</v>
      </c>
      <c r="F92" s="209">
        <f t="shared" si="10"/>
        <v>2666.7599999999998</v>
      </c>
      <c r="G92" s="209">
        <f t="shared" si="12"/>
        <v>26444.969999999998</v>
      </c>
      <c r="H92" s="209">
        <f t="shared" si="11"/>
        <v>27778.35</v>
      </c>
      <c r="I92" s="89"/>
      <c r="J92" s="900"/>
    </row>
    <row r="93" spans="1:10" ht="12.75" hidden="1" outlineLevel="2">
      <c r="A93" s="212" t="s">
        <v>283</v>
      </c>
      <c r="B93" s="213">
        <v>40001</v>
      </c>
      <c r="C93" s="209">
        <v>31778.489999999994</v>
      </c>
      <c r="D93" s="209">
        <v>2666.7599999999998</v>
      </c>
      <c r="E93" s="209">
        <f t="shared" si="9"/>
        <v>29111.729999999996</v>
      </c>
      <c r="F93" s="209">
        <f t="shared" si="10"/>
        <v>2666.7599999999998</v>
      </c>
      <c r="G93" s="209">
        <f t="shared" si="12"/>
        <v>26444.969999999998</v>
      </c>
      <c r="H93" s="209">
        <f t="shared" si="11"/>
        <v>27778.35</v>
      </c>
      <c r="I93" s="89"/>
      <c r="J93" s="900"/>
    </row>
    <row r="94" spans="1:10" ht="12.75" hidden="1" outlineLevel="2">
      <c r="A94" s="212" t="s">
        <v>284</v>
      </c>
      <c r="B94" s="213">
        <v>40001</v>
      </c>
      <c r="C94" s="209">
        <v>31778.489999999994</v>
      </c>
      <c r="D94" s="209">
        <v>2666.7599999999998</v>
      </c>
      <c r="E94" s="209">
        <f t="shared" si="9"/>
        <v>29111.729999999996</v>
      </c>
      <c r="F94" s="209">
        <f t="shared" si="10"/>
        <v>2666.7599999999998</v>
      </c>
      <c r="G94" s="209">
        <f t="shared" si="12"/>
        <v>26444.969999999998</v>
      </c>
      <c r="H94" s="209">
        <f t="shared" si="11"/>
        <v>27778.35</v>
      </c>
      <c r="I94" s="89"/>
      <c r="J94" s="900"/>
    </row>
    <row r="95" spans="1:10" ht="12.75" hidden="1" outlineLevel="2">
      <c r="A95" s="212" t="s">
        <v>285</v>
      </c>
      <c r="B95" s="213">
        <v>40001</v>
      </c>
      <c r="C95" s="209">
        <v>31778.489999999994</v>
      </c>
      <c r="D95" s="209">
        <v>2666.7599999999998</v>
      </c>
      <c r="E95" s="209">
        <f t="shared" si="9"/>
        <v>29111.729999999996</v>
      </c>
      <c r="F95" s="209">
        <f t="shared" si="10"/>
        <v>2666.7599999999998</v>
      </c>
      <c r="G95" s="209">
        <f t="shared" si="12"/>
        <v>26444.969999999998</v>
      </c>
      <c r="H95" s="209">
        <f t="shared" si="11"/>
        <v>27778.35</v>
      </c>
      <c r="I95" s="89"/>
      <c r="J95" s="900"/>
    </row>
    <row r="96" spans="1:10" ht="12.75" hidden="1" outlineLevel="2">
      <c r="A96" s="212" t="s">
        <v>286</v>
      </c>
      <c r="B96" s="213">
        <v>40001</v>
      </c>
      <c r="C96" s="209">
        <v>31778.489999999994</v>
      </c>
      <c r="D96" s="209">
        <v>2666.7599999999998</v>
      </c>
      <c r="E96" s="209">
        <f t="shared" si="9"/>
        <v>29111.729999999996</v>
      </c>
      <c r="F96" s="209">
        <f t="shared" si="10"/>
        <v>2666.7599999999998</v>
      </c>
      <c r="G96" s="209">
        <f t="shared" si="12"/>
        <v>26444.969999999998</v>
      </c>
      <c r="H96" s="209">
        <f t="shared" si="11"/>
        <v>27778.35</v>
      </c>
      <c r="I96" s="89"/>
      <c r="J96" s="900"/>
    </row>
    <row r="97" spans="1:10" ht="12.75" hidden="1" outlineLevel="2">
      <c r="A97" s="212" t="s">
        <v>287</v>
      </c>
      <c r="B97" s="213">
        <v>40001</v>
      </c>
      <c r="C97" s="209">
        <v>31778.489999999994</v>
      </c>
      <c r="D97" s="209">
        <v>2666.7599999999998</v>
      </c>
      <c r="E97" s="209">
        <f t="shared" si="9"/>
        <v>29111.729999999996</v>
      </c>
      <c r="F97" s="209">
        <f t="shared" si="10"/>
        <v>2666.7599999999998</v>
      </c>
      <c r="G97" s="209">
        <f t="shared" si="12"/>
        <v>26444.969999999998</v>
      </c>
      <c r="H97" s="209">
        <f t="shared" si="11"/>
        <v>27778.35</v>
      </c>
      <c r="I97" s="89"/>
      <c r="J97" s="900"/>
    </row>
    <row r="98" spans="1:10" ht="12.75" hidden="1" outlineLevel="2">
      <c r="A98" s="212" t="s">
        <v>288</v>
      </c>
      <c r="B98" s="213">
        <v>40001</v>
      </c>
      <c r="C98" s="209">
        <v>31778.489999999994</v>
      </c>
      <c r="D98" s="209">
        <v>2666.7599999999998</v>
      </c>
      <c r="E98" s="209">
        <f t="shared" si="9"/>
        <v>29111.729999999996</v>
      </c>
      <c r="F98" s="209">
        <f t="shared" si="10"/>
        <v>2666.7599999999998</v>
      </c>
      <c r="G98" s="209">
        <f t="shared" si="12"/>
        <v>26444.969999999998</v>
      </c>
      <c r="H98" s="209">
        <f t="shared" si="11"/>
        <v>27778.35</v>
      </c>
      <c r="I98" s="89"/>
      <c r="J98" s="900"/>
    </row>
    <row r="99" spans="1:10" ht="12.75" hidden="1" outlineLevel="2">
      <c r="A99" s="212" t="s">
        <v>289</v>
      </c>
      <c r="B99" s="213">
        <v>40001</v>
      </c>
      <c r="C99" s="209">
        <v>31778.489999999994</v>
      </c>
      <c r="D99" s="209">
        <v>2666.7599999999998</v>
      </c>
      <c r="E99" s="209">
        <f t="shared" si="9"/>
        <v>29111.729999999996</v>
      </c>
      <c r="F99" s="209">
        <f t="shared" si="10"/>
        <v>2666.7599999999998</v>
      </c>
      <c r="G99" s="209">
        <f t="shared" si="12"/>
        <v>26444.969999999998</v>
      </c>
      <c r="H99" s="209">
        <f t="shared" si="11"/>
        <v>27778.35</v>
      </c>
      <c r="I99" s="89"/>
      <c r="J99" s="900"/>
    </row>
    <row r="100" spans="1:10" ht="12.75" hidden="1" outlineLevel="2">
      <c r="A100" s="212" t="s">
        <v>290</v>
      </c>
      <c r="B100" s="213">
        <v>40001</v>
      </c>
      <c r="C100" s="209">
        <v>31778.489999999994</v>
      </c>
      <c r="D100" s="209">
        <v>2666.7599999999998</v>
      </c>
      <c r="E100" s="209">
        <f t="shared" si="9"/>
        <v>29111.729999999996</v>
      </c>
      <c r="F100" s="209">
        <f t="shared" si="10"/>
        <v>2666.7599999999998</v>
      </c>
      <c r="G100" s="209">
        <f t="shared" si="12"/>
        <v>26444.969999999998</v>
      </c>
      <c r="H100" s="209">
        <f t="shared" si="11"/>
        <v>27778.35</v>
      </c>
      <c r="I100" s="89"/>
      <c r="J100" s="900"/>
    </row>
    <row r="101" spans="1:10" ht="12.75" hidden="1" outlineLevel="2">
      <c r="A101" s="212" t="s">
        <v>291</v>
      </c>
      <c r="B101" s="213">
        <v>40001</v>
      </c>
      <c r="C101" s="209">
        <v>31778.489999999994</v>
      </c>
      <c r="D101" s="209">
        <v>2666.7599999999998</v>
      </c>
      <c r="E101" s="209">
        <f t="shared" si="9"/>
        <v>29111.729999999996</v>
      </c>
      <c r="F101" s="209">
        <f t="shared" si="10"/>
        <v>2666.7599999999998</v>
      </c>
      <c r="G101" s="209">
        <f t="shared" si="12"/>
        <v>26444.969999999998</v>
      </c>
      <c r="H101" s="209">
        <f t="shared" si="11"/>
        <v>27778.35</v>
      </c>
      <c r="I101" s="89"/>
      <c r="J101" s="900"/>
    </row>
    <row r="102" spans="1:10" ht="12.75" hidden="1" outlineLevel="2">
      <c r="A102" s="212" t="s">
        <v>292</v>
      </c>
      <c r="B102" s="213">
        <v>40001</v>
      </c>
      <c r="C102" s="209">
        <v>31778.489999999994</v>
      </c>
      <c r="D102" s="209">
        <v>2666.7599999999998</v>
      </c>
      <c r="E102" s="209">
        <f t="shared" si="9"/>
        <v>29111.729999999996</v>
      </c>
      <c r="F102" s="209">
        <f t="shared" si="10"/>
        <v>2666.7599999999998</v>
      </c>
      <c r="G102" s="209">
        <f t="shared" si="12"/>
        <v>26444.969999999998</v>
      </c>
      <c r="H102" s="209">
        <f t="shared" si="11"/>
        <v>27778.35</v>
      </c>
      <c r="I102" s="89"/>
      <c r="J102" s="900"/>
    </row>
    <row r="103" spans="1:10" ht="12.75" hidden="1" outlineLevel="2">
      <c r="A103" s="212" t="s">
        <v>293</v>
      </c>
      <c r="B103" s="213">
        <v>40001</v>
      </c>
      <c r="C103" s="209">
        <v>31778.489999999994</v>
      </c>
      <c r="D103" s="209">
        <v>2666.7599999999998</v>
      </c>
      <c r="E103" s="209">
        <f t="shared" si="9"/>
        <v>29111.729999999996</v>
      </c>
      <c r="F103" s="209">
        <f t="shared" si="10"/>
        <v>2666.7599999999998</v>
      </c>
      <c r="G103" s="209">
        <f t="shared" si="12"/>
        <v>26444.969999999998</v>
      </c>
      <c r="H103" s="209">
        <f t="shared" si="11"/>
        <v>27778.35</v>
      </c>
      <c r="I103" s="89"/>
      <c r="J103" s="900"/>
    </row>
    <row r="104" spans="1:10" ht="12.75" hidden="1" outlineLevel="2">
      <c r="A104" s="212" t="s">
        <v>294</v>
      </c>
      <c r="B104" s="213">
        <v>40001</v>
      </c>
      <c r="C104" s="209">
        <v>33834.21</v>
      </c>
      <c r="D104" s="209">
        <v>2000.04</v>
      </c>
      <c r="E104" s="209">
        <f t="shared" si="9"/>
        <v>31834.17</v>
      </c>
      <c r="F104" s="209">
        <f t="shared" si="10"/>
        <v>2000.04</v>
      </c>
      <c r="G104" s="209">
        <f t="shared" si="12"/>
        <v>29834.129999999997</v>
      </c>
      <c r="H104" s="209">
        <f t="shared" si="11"/>
        <v>30834.149999999998</v>
      </c>
      <c r="I104" s="89"/>
      <c r="J104" s="900"/>
    </row>
    <row r="105" spans="1:10" ht="12.75" hidden="1" outlineLevel="2">
      <c r="A105" s="212" t="s">
        <v>295</v>
      </c>
      <c r="B105" s="213">
        <v>40001</v>
      </c>
      <c r="C105" s="209">
        <v>31778.489999999994</v>
      </c>
      <c r="D105" s="209">
        <v>2666.7599999999998</v>
      </c>
      <c r="E105" s="209">
        <f t="shared" si="9"/>
        <v>29111.729999999996</v>
      </c>
      <c r="F105" s="209">
        <f t="shared" si="10"/>
        <v>2666.7599999999998</v>
      </c>
      <c r="G105" s="209">
        <f t="shared" si="12"/>
        <v>26444.969999999998</v>
      </c>
      <c r="H105" s="209">
        <f t="shared" si="11"/>
        <v>27778.35</v>
      </c>
      <c r="I105" s="89"/>
      <c r="J105" s="900"/>
    </row>
    <row r="106" spans="1:10" ht="12.75" hidden="1" outlineLevel="2">
      <c r="A106" s="212" t="s">
        <v>296</v>
      </c>
      <c r="B106" s="213">
        <v>40001</v>
      </c>
      <c r="C106" s="209">
        <v>31778.489999999994</v>
      </c>
      <c r="D106" s="209">
        <v>2666.7599999999998</v>
      </c>
      <c r="E106" s="209">
        <f t="shared" si="9"/>
        <v>29111.729999999996</v>
      </c>
      <c r="F106" s="209">
        <f t="shared" si="10"/>
        <v>2666.7599999999998</v>
      </c>
      <c r="G106" s="209">
        <f t="shared" si="12"/>
        <v>26444.969999999998</v>
      </c>
      <c r="H106" s="209">
        <f t="shared" si="11"/>
        <v>27778.35</v>
      </c>
      <c r="I106" s="89"/>
      <c r="J106" s="900"/>
    </row>
    <row r="107" spans="1:10" ht="12.75" hidden="1" outlineLevel="2">
      <c r="A107" s="212" t="s">
        <v>297</v>
      </c>
      <c r="B107" s="213">
        <v>40001</v>
      </c>
      <c r="C107" s="209">
        <v>31778.489999999994</v>
      </c>
      <c r="D107" s="209">
        <v>2666.7599999999998</v>
      </c>
      <c r="E107" s="209">
        <f t="shared" si="9"/>
        <v>29111.729999999996</v>
      </c>
      <c r="F107" s="209">
        <f t="shared" si="10"/>
        <v>2666.7599999999998</v>
      </c>
      <c r="G107" s="209">
        <f t="shared" si="12"/>
        <v>26444.969999999998</v>
      </c>
      <c r="H107" s="209">
        <f t="shared" si="11"/>
        <v>27778.35</v>
      </c>
      <c r="I107" s="89"/>
      <c r="J107" s="900"/>
    </row>
    <row r="108" spans="1:10" ht="12.75" hidden="1" outlineLevel="2">
      <c r="A108" s="212" t="s">
        <v>298</v>
      </c>
      <c r="B108" s="213">
        <v>40001</v>
      </c>
      <c r="C108" s="209">
        <v>33834.21</v>
      </c>
      <c r="D108" s="209">
        <v>2000.04</v>
      </c>
      <c r="E108" s="209">
        <f t="shared" si="9"/>
        <v>31834.17</v>
      </c>
      <c r="F108" s="209">
        <f t="shared" si="10"/>
        <v>2000.04</v>
      </c>
      <c r="G108" s="209">
        <f t="shared" si="12"/>
        <v>29834.129999999997</v>
      </c>
      <c r="H108" s="209">
        <f t="shared" si="11"/>
        <v>30834.149999999998</v>
      </c>
      <c r="I108" s="89"/>
      <c r="J108" s="900"/>
    </row>
    <row r="109" spans="1:10" ht="12.75" hidden="1" outlineLevel="2">
      <c r="A109" s="212" t="s">
        <v>299</v>
      </c>
      <c r="B109" s="213">
        <v>40001</v>
      </c>
      <c r="C109" s="209">
        <v>33834.21</v>
      </c>
      <c r="D109" s="209">
        <v>2000.04</v>
      </c>
      <c r="E109" s="209">
        <f t="shared" si="9"/>
        <v>31834.17</v>
      </c>
      <c r="F109" s="209">
        <f t="shared" si="10"/>
        <v>2000.04</v>
      </c>
      <c r="G109" s="209">
        <f t="shared" si="12"/>
        <v>29834.129999999997</v>
      </c>
      <c r="H109" s="209">
        <f t="shared" si="11"/>
        <v>30834.149999999998</v>
      </c>
      <c r="I109" s="89"/>
      <c r="J109" s="900"/>
    </row>
    <row r="110" spans="1:10" ht="12.75" hidden="1" outlineLevel="2">
      <c r="A110" s="212" t="s">
        <v>300</v>
      </c>
      <c r="B110" s="213">
        <v>40001</v>
      </c>
      <c r="C110" s="209">
        <v>33834.21</v>
      </c>
      <c r="D110" s="209">
        <v>2000.04</v>
      </c>
      <c r="E110" s="209">
        <f t="shared" si="9"/>
        <v>31834.17</v>
      </c>
      <c r="F110" s="209">
        <f t="shared" si="10"/>
        <v>2000.04</v>
      </c>
      <c r="G110" s="209">
        <f t="shared" si="12"/>
        <v>29834.129999999997</v>
      </c>
      <c r="H110" s="209">
        <f t="shared" si="11"/>
        <v>30834.149999999998</v>
      </c>
      <c r="I110" s="89"/>
      <c r="J110" s="900"/>
    </row>
    <row r="111" spans="1:10" ht="25.5" hidden="1" outlineLevel="2">
      <c r="A111" s="212" t="s">
        <v>301</v>
      </c>
      <c r="B111" s="213">
        <v>394703.39</v>
      </c>
      <c r="C111" s="894">
        <v>305295.51</v>
      </c>
      <c r="D111" s="894">
        <v>26168.159999999996</v>
      </c>
      <c r="E111" s="209">
        <f t="shared" si="9"/>
        <v>279127.35000000003</v>
      </c>
      <c r="F111" s="209">
        <f t="shared" si="10"/>
        <v>26168.159999999996</v>
      </c>
      <c r="G111" s="209">
        <f t="shared" si="12"/>
        <v>252959.19000000003</v>
      </c>
      <c r="H111" s="209">
        <f t="shared" si="11"/>
        <v>266043.27</v>
      </c>
      <c r="I111" s="89"/>
      <c r="J111" s="900"/>
    </row>
    <row r="112" spans="1:10" ht="25.5" hidden="1" outlineLevel="2">
      <c r="A112" s="212" t="s">
        <v>302</v>
      </c>
      <c r="B112" s="213">
        <v>394703.39</v>
      </c>
      <c r="C112" s="894">
        <v>305295.5</v>
      </c>
      <c r="D112" s="894">
        <v>26168.159999999996</v>
      </c>
      <c r="E112" s="209">
        <f t="shared" si="9"/>
        <v>279127.34</v>
      </c>
      <c r="F112" s="209">
        <f t="shared" si="10"/>
        <v>26168.159999999996</v>
      </c>
      <c r="G112" s="209">
        <f t="shared" si="12"/>
        <v>252959.18000000002</v>
      </c>
      <c r="H112" s="209">
        <f t="shared" si="11"/>
        <v>266043.26</v>
      </c>
      <c r="I112" s="89"/>
      <c r="J112" s="900"/>
    </row>
    <row r="113" spans="1:10" ht="12.75" hidden="1" outlineLevel="2">
      <c r="A113" s="212" t="s">
        <v>303</v>
      </c>
      <c r="B113" s="213">
        <v>40001</v>
      </c>
      <c r="C113" s="209">
        <v>33834.21</v>
      </c>
      <c r="D113" s="209">
        <v>2000.04</v>
      </c>
      <c r="E113" s="209">
        <f t="shared" si="9"/>
        <v>31834.17</v>
      </c>
      <c r="F113" s="209">
        <f t="shared" si="10"/>
        <v>2000.04</v>
      </c>
      <c r="G113" s="209">
        <f t="shared" si="12"/>
        <v>29834.129999999997</v>
      </c>
      <c r="H113" s="209">
        <f t="shared" si="11"/>
        <v>30834.149999999998</v>
      </c>
      <c r="I113" s="89"/>
      <c r="J113" s="900"/>
    </row>
    <row r="114" spans="1:10" ht="12.75" hidden="1" outlineLevel="2">
      <c r="A114" s="212" t="s">
        <v>304</v>
      </c>
      <c r="B114" s="213">
        <v>40001</v>
      </c>
      <c r="C114" s="209">
        <v>33834.21</v>
      </c>
      <c r="D114" s="209">
        <v>2000.04</v>
      </c>
      <c r="E114" s="209">
        <f t="shared" si="9"/>
        <v>31834.17</v>
      </c>
      <c r="F114" s="209">
        <f t="shared" si="10"/>
        <v>2000.04</v>
      </c>
      <c r="G114" s="209">
        <f t="shared" si="12"/>
        <v>29834.129999999997</v>
      </c>
      <c r="H114" s="209">
        <f t="shared" si="11"/>
        <v>30834.149999999998</v>
      </c>
      <c r="I114" s="89"/>
      <c r="J114" s="900"/>
    </row>
    <row r="115" spans="1:10" ht="12.75" hidden="1" outlineLevel="2">
      <c r="A115" s="212" t="s">
        <v>305</v>
      </c>
      <c r="B115" s="213">
        <v>40001</v>
      </c>
      <c r="C115" s="209">
        <v>33834.21</v>
      </c>
      <c r="D115" s="209">
        <v>2000.04</v>
      </c>
      <c r="E115" s="209">
        <f t="shared" si="9"/>
        <v>31834.17</v>
      </c>
      <c r="F115" s="209">
        <f t="shared" si="10"/>
        <v>2000.04</v>
      </c>
      <c r="G115" s="209">
        <f t="shared" si="12"/>
        <v>29834.129999999997</v>
      </c>
      <c r="H115" s="209">
        <f t="shared" si="11"/>
        <v>30834.149999999998</v>
      </c>
      <c r="I115" s="89"/>
      <c r="J115" s="900"/>
    </row>
    <row r="116" spans="1:10" ht="12.75" hidden="1" outlineLevel="2">
      <c r="A116" s="212" t="s">
        <v>306</v>
      </c>
      <c r="B116" s="213">
        <v>40001</v>
      </c>
      <c r="C116" s="209">
        <v>33834.21</v>
      </c>
      <c r="D116" s="209">
        <v>2000.04</v>
      </c>
      <c r="E116" s="209">
        <f t="shared" si="9"/>
        <v>31834.17</v>
      </c>
      <c r="F116" s="209">
        <f t="shared" si="10"/>
        <v>2000.04</v>
      </c>
      <c r="G116" s="209">
        <f t="shared" si="12"/>
        <v>29834.129999999997</v>
      </c>
      <c r="H116" s="209">
        <f t="shared" si="11"/>
        <v>30834.149999999998</v>
      </c>
      <c r="I116" s="89"/>
      <c r="J116" s="900"/>
    </row>
    <row r="117" spans="1:10" ht="12.75" hidden="1" outlineLevel="2">
      <c r="A117" s="212" t="s">
        <v>307</v>
      </c>
      <c r="B117" s="213">
        <v>40001</v>
      </c>
      <c r="C117" s="209">
        <v>33834.21</v>
      </c>
      <c r="D117" s="209">
        <v>2000.04</v>
      </c>
      <c r="E117" s="209">
        <f t="shared" si="9"/>
        <v>31834.17</v>
      </c>
      <c r="F117" s="209">
        <f t="shared" si="10"/>
        <v>2000.04</v>
      </c>
      <c r="G117" s="209">
        <f t="shared" si="12"/>
        <v>29834.129999999997</v>
      </c>
      <c r="H117" s="209">
        <f t="shared" si="11"/>
        <v>30834.149999999998</v>
      </c>
      <c r="I117" s="89"/>
      <c r="J117" s="900"/>
    </row>
    <row r="118" spans="1:10" ht="12.75" hidden="1" outlineLevel="2">
      <c r="A118" s="212" t="s">
        <v>308</v>
      </c>
      <c r="B118" s="213">
        <v>40001</v>
      </c>
      <c r="C118" s="209">
        <v>33834.21</v>
      </c>
      <c r="D118" s="209">
        <v>2000.04</v>
      </c>
      <c r="E118" s="209">
        <f t="shared" si="9"/>
        <v>31834.17</v>
      </c>
      <c r="F118" s="209">
        <f t="shared" si="10"/>
        <v>2000.04</v>
      </c>
      <c r="G118" s="209">
        <f t="shared" si="12"/>
        <v>29834.129999999997</v>
      </c>
      <c r="H118" s="209">
        <f t="shared" si="11"/>
        <v>30834.149999999998</v>
      </c>
      <c r="I118" s="89"/>
      <c r="J118" s="900"/>
    </row>
    <row r="119" spans="1:10" ht="25.5" hidden="1" outlineLevel="1">
      <c r="A119" s="212" t="s">
        <v>309</v>
      </c>
      <c r="B119" s="213">
        <v>508802.38</v>
      </c>
      <c r="C119" s="209">
        <v>303595</v>
      </c>
      <c r="D119" s="209">
        <v>33732.72</v>
      </c>
      <c r="E119" s="209">
        <f t="shared" si="9"/>
        <v>269862.28</v>
      </c>
      <c r="F119" s="209">
        <f t="shared" si="10"/>
        <v>33732.72</v>
      </c>
      <c r="G119" s="209">
        <f t="shared" si="12"/>
        <v>236129.56000000003</v>
      </c>
      <c r="H119" s="209">
        <f t="shared" si="11"/>
        <v>252995.92000000004</v>
      </c>
      <c r="I119" s="89"/>
      <c r="J119" s="900"/>
    </row>
    <row r="120" spans="1:10" ht="25.5" hidden="1" outlineLevel="1">
      <c r="A120" s="212" t="s">
        <v>310</v>
      </c>
      <c r="B120" s="213">
        <v>508802.38</v>
      </c>
      <c r="C120" s="209">
        <v>303595</v>
      </c>
      <c r="D120" s="209">
        <v>33732.72</v>
      </c>
      <c r="E120" s="209">
        <f t="shared" si="9"/>
        <v>269862.28</v>
      </c>
      <c r="F120" s="209">
        <f t="shared" si="10"/>
        <v>33732.72</v>
      </c>
      <c r="G120" s="209">
        <f t="shared" si="12"/>
        <v>236129.56000000003</v>
      </c>
      <c r="H120" s="209">
        <f t="shared" si="11"/>
        <v>252995.92000000004</v>
      </c>
      <c r="I120" s="89"/>
      <c r="J120" s="900"/>
    </row>
    <row r="121" spans="1:10" ht="25.5" hidden="1" outlineLevel="1">
      <c r="A121" s="212" t="s">
        <v>322</v>
      </c>
      <c r="B121" s="213">
        <v>40001</v>
      </c>
      <c r="C121" s="209">
        <v>27667.42</v>
      </c>
      <c r="D121" s="209">
        <v>4000.08</v>
      </c>
      <c r="E121" s="209">
        <f t="shared" si="9"/>
        <v>23667.339999999997</v>
      </c>
      <c r="F121" s="209">
        <f t="shared" si="10"/>
        <v>4000.08</v>
      </c>
      <c r="G121" s="209">
        <f t="shared" si="12"/>
        <v>19667.259999999995</v>
      </c>
      <c r="H121" s="209">
        <f t="shared" si="11"/>
        <v>21667.299999999996</v>
      </c>
      <c r="I121" s="89"/>
      <c r="J121" s="900"/>
    </row>
    <row r="122" spans="1:10" ht="25.5" hidden="1" outlineLevel="1">
      <c r="A122" s="212" t="s">
        <v>323</v>
      </c>
      <c r="B122" s="213">
        <v>40001</v>
      </c>
      <c r="C122" s="209">
        <v>27667.42</v>
      </c>
      <c r="D122" s="209">
        <v>4000.08</v>
      </c>
      <c r="E122" s="209">
        <f t="shared" si="9"/>
        <v>23667.339999999997</v>
      </c>
      <c r="F122" s="209">
        <f t="shared" si="10"/>
        <v>4000.08</v>
      </c>
      <c r="G122" s="209">
        <f t="shared" si="12"/>
        <v>19667.259999999995</v>
      </c>
      <c r="H122" s="209">
        <f t="shared" si="11"/>
        <v>21667.299999999996</v>
      </c>
      <c r="I122" s="89"/>
      <c r="J122" s="900"/>
    </row>
    <row r="123" spans="1:10" ht="25.5" hidden="1" outlineLevel="1">
      <c r="A123" s="212" t="s">
        <v>324</v>
      </c>
      <c r="B123" s="213">
        <v>40001</v>
      </c>
      <c r="C123" s="209">
        <v>27667.42</v>
      </c>
      <c r="D123" s="209">
        <v>4000.08</v>
      </c>
      <c r="E123" s="209">
        <f t="shared" si="9"/>
        <v>23667.339999999997</v>
      </c>
      <c r="F123" s="209">
        <f t="shared" si="10"/>
        <v>4000.08</v>
      </c>
      <c r="G123" s="209">
        <f t="shared" si="12"/>
        <v>19667.259999999995</v>
      </c>
      <c r="H123" s="209">
        <f t="shared" si="11"/>
        <v>21667.299999999996</v>
      </c>
      <c r="I123" s="89"/>
      <c r="J123" s="900"/>
    </row>
    <row r="124" spans="1:10" ht="25.5" hidden="1" outlineLevel="1">
      <c r="A124" s="212" t="s">
        <v>325</v>
      </c>
      <c r="B124" s="213">
        <v>40001</v>
      </c>
      <c r="C124" s="209">
        <v>27667.42</v>
      </c>
      <c r="D124" s="209">
        <v>4000.08</v>
      </c>
      <c r="E124" s="209">
        <f t="shared" si="9"/>
        <v>23667.339999999997</v>
      </c>
      <c r="F124" s="209">
        <f t="shared" si="10"/>
        <v>4000.08</v>
      </c>
      <c r="G124" s="209">
        <f t="shared" si="12"/>
        <v>19667.259999999995</v>
      </c>
      <c r="H124" s="209">
        <f t="shared" si="11"/>
        <v>21667.299999999996</v>
      </c>
      <c r="I124" s="89"/>
      <c r="J124" s="900"/>
    </row>
    <row r="125" spans="1:10" ht="25.5" hidden="1" outlineLevel="1">
      <c r="A125" s="212" t="s">
        <v>326</v>
      </c>
      <c r="B125" s="213">
        <v>40001</v>
      </c>
      <c r="C125" s="209">
        <v>27667.42</v>
      </c>
      <c r="D125" s="209">
        <v>4000.08</v>
      </c>
      <c r="E125" s="209">
        <f aca="true" t="shared" si="13" ref="E125:E148">C125-D125</f>
        <v>23667.339999999997</v>
      </c>
      <c r="F125" s="209">
        <f aca="true" t="shared" si="14" ref="F125:F149">IF(D125&lt;=E125,D125,E125)</f>
        <v>4000.08</v>
      </c>
      <c r="G125" s="209">
        <f t="shared" si="12"/>
        <v>19667.259999999995</v>
      </c>
      <c r="H125" s="209">
        <f t="shared" si="11"/>
        <v>21667.299999999996</v>
      </c>
      <c r="I125" s="89"/>
      <c r="J125" s="900"/>
    </row>
    <row r="126" spans="1:10" ht="25.5" hidden="1" outlineLevel="1">
      <c r="A126" s="212" t="s">
        <v>327</v>
      </c>
      <c r="B126" s="213">
        <v>40001</v>
      </c>
      <c r="C126" s="209">
        <v>27667.42</v>
      </c>
      <c r="D126" s="209">
        <v>4000.08</v>
      </c>
      <c r="E126" s="209">
        <f t="shared" si="13"/>
        <v>23667.339999999997</v>
      </c>
      <c r="F126" s="209">
        <f t="shared" si="14"/>
        <v>4000.08</v>
      </c>
      <c r="G126" s="209">
        <f t="shared" si="12"/>
        <v>19667.259999999995</v>
      </c>
      <c r="H126" s="209">
        <f t="shared" si="11"/>
        <v>21667.299999999996</v>
      </c>
      <c r="I126" s="89"/>
      <c r="J126" s="900"/>
    </row>
    <row r="127" spans="1:10" ht="25.5" hidden="1" outlineLevel="1">
      <c r="A127" s="212" t="s">
        <v>328</v>
      </c>
      <c r="B127" s="213">
        <v>40001</v>
      </c>
      <c r="C127" s="209">
        <v>27667.42</v>
      </c>
      <c r="D127" s="209">
        <v>4000.08</v>
      </c>
      <c r="E127" s="209">
        <f t="shared" si="13"/>
        <v>23667.339999999997</v>
      </c>
      <c r="F127" s="209">
        <f t="shared" si="14"/>
        <v>4000.08</v>
      </c>
      <c r="G127" s="209">
        <f t="shared" si="12"/>
        <v>19667.259999999995</v>
      </c>
      <c r="H127" s="209">
        <f t="shared" si="11"/>
        <v>21667.299999999996</v>
      </c>
      <c r="I127" s="89"/>
      <c r="J127" s="900"/>
    </row>
    <row r="128" spans="1:10" ht="25.5" hidden="1" outlineLevel="1">
      <c r="A128" s="212" t="s">
        <v>329</v>
      </c>
      <c r="B128" s="213">
        <v>40001</v>
      </c>
      <c r="C128" s="209">
        <v>27667.42</v>
      </c>
      <c r="D128" s="209">
        <v>4000.08</v>
      </c>
      <c r="E128" s="209">
        <f t="shared" si="13"/>
        <v>23667.339999999997</v>
      </c>
      <c r="F128" s="209">
        <f t="shared" si="14"/>
        <v>4000.08</v>
      </c>
      <c r="G128" s="209">
        <f t="shared" si="12"/>
        <v>19667.259999999995</v>
      </c>
      <c r="H128" s="209">
        <f t="shared" si="11"/>
        <v>21667.299999999996</v>
      </c>
      <c r="I128" s="89"/>
      <c r="J128" s="900"/>
    </row>
    <row r="129" spans="1:10" ht="25.5" hidden="1" outlineLevel="1">
      <c r="A129" s="212" t="s">
        <v>330</v>
      </c>
      <c r="B129" s="213">
        <v>40001</v>
      </c>
      <c r="C129" s="209">
        <v>27667.42</v>
      </c>
      <c r="D129" s="209">
        <v>4000.08</v>
      </c>
      <c r="E129" s="209">
        <f t="shared" si="13"/>
        <v>23667.339999999997</v>
      </c>
      <c r="F129" s="209">
        <f t="shared" si="14"/>
        <v>4000.08</v>
      </c>
      <c r="G129" s="209">
        <f t="shared" si="12"/>
        <v>19667.259999999995</v>
      </c>
      <c r="H129" s="209">
        <f t="shared" si="11"/>
        <v>21667.299999999996</v>
      </c>
      <c r="I129" s="89"/>
      <c r="J129" s="900"/>
    </row>
    <row r="130" spans="1:10" ht="25.5" hidden="1" outlineLevel="1">
      <c r="A130" s="212" t="s">
        <v>331</v>
      </c>
      <c r="B130" s="213">
        <v>40001</v>
      </c>
      <c r="C130" s="209">
        <v>27667.42</v>
      </c>
      <c r="D130" s="209">
        <v>4000.08</v>
      </c>
      <c r="E130" s="209">
        <f t="shared" si="13"/>
        <v>23667.339999999997</v>
      </c>
      <c r="F130" s="209">
        <f t="shared" si="14"/>
        <v>4000.08</v>
      </c>
      <c r="G130" s="209">
        <f t="shared" si="12"/>
        <v>19667.259999999995</v>
      </c>
      <c r="H130" s="209">
        <f t="shared" si="11"/>
        <v>21667.299999999996</v>
      </c>
      <c r="I130" s="89"/>
      <c r="J130" s="900"/>
    </row>
    <row r="131" spans="1:10" ht="25.5" hidden="1" outlineLevel="1">
      <c r="A131" s="212" t="s">
        <v>332</v>
      </c>
      <c r="B131" s="213">
        <v>40001</v>
      </c>
      <c r="C131" s="209">
        <v>27667.42</v>
      </c>
      <c r="D131" s="209">
        <v>4000.08</v>
      </c>
      <c r="E131" s="209">
        <f t="shared" si="13"/>
        <v>23667.339999999997</v>
      </c>
      <c r="F131" s="209">
        <f t="shared" si="14"/>
        <v>4000.08</v>
      </c>
      <c r="G131" s="209">
        <f t="shared" si="12"/>
        <v>19667.259999999995</v>
      </c>
      <c r="H131" s="209">
        <f t="shared" si="11"/>
        <v>21667.299999999996</v>
      </c>
      <c r="I131" s="89"/>
      <c r="J131" s="900"/>
    </row>
    <row r="132" spans="1:10" ht="25.5" hidden="1" outlineLevel="1">
      <c r="A132" s="212" t="s">
        <v>333</v>
      </c>
      <c r="B132" s="213">
        <v>40001</v>
      </c>
      <c r="C132" s="209">
        <v>27667.42</v>
      </c>
      <c r="D132" s="209">
        <v>4000.08</v>
      </c>
      <c r="E132" s="209">
        <f t="shared" si="13"/>
        <v>23667.339999999997</v>
      </c>
      <c r="F132" s="209">
        <f t="shared" si="14"/>
        <v>4000.08</v>
      </c>
      <c r="G132" s="209">
        <f t="shared" si="12"/>
        <v>19667.259999999995</v>
      </c>
      <c r="H132" s="209">
        <f t="shared" si="11"/>
        <v>21667.299999999996</v>
      </c>
      <c r="I132" s="89"/>
      <c r="J132" s="900"/>
    </row>
    <row r="133" spans="1:10" ht="25.5" hidden="1" outlineLevel="1">
      <c r="A133" s="212" t="s">
        <v>334</v>
      </c>
      <c r="B133" s="213">
        <v>40001</v>
      </c>
      <c r="C133" s="209">
        <v>27667.42</v>
      </c>
      <c r="D133" s="209">
        <v>4000.08</v>
      </c>
      <c r="E133" s="209">
        <f t="shared" si="13"/>
        <v>23667.339999999997</v>
      </c>
      <c r="F133" s="209">
        <f t="shared" si="14"/>
        <v>4000.08</v>
      </c>
      <c r="G133" s="209">
        <f t="shared" si="12"/>
        <v>19667.259999999995</v>
      </c>
      <c r="H133" s="209">
        <f t="shared" si="11"/>
        <v>21667.299999999996</v>
      </c>
      <c r="I133" s="89"/>
      <c r="J133" s="900"/>
    </row>
    <row r="134" spans="1:10" ht="12.75" hidden="1" outlineLevel="1">
      <c r="A134" s="212" t="s">
        <v>371</v>
      </c>
      <c r="B134" s="105">
        <f>40001</f>
        <v>40001</v>
      </c>
      <c r="C134" s="209">
        <v>31778.489999999994</v>
      </c>
      <c r="D134" s="209">
        <v>2666.7599999999998</v>
      </c>
      <c r="E134" s="209">
        <f t="shared" si="13"/>
        <v>29111.729999999996</v>
      </c>
      <c r="F134" s="209">
        <f t="shared" si="14"/>
        <v>2666.7599999999998</v>
      </c>
      <c r="G134" s="209">
        <f t="shared" si="12"/>
        <v>26444.969999999998</v>
      </c>
      <c r="H134" s="209">
        <f t="shared" si="11"/>
        <v>27778.35</v>
      </c>
      <c r="I134" s="89"/>
      <c r="J134" s="900"/>
    </row>
    <row r="135" spans="1:10" ht="12.75" hidden="1" outlineLevel="1">
      <c r="A135" s="212" t="s">
        <v>372</v>
      </c>
      <c r="B135" s="105">
        <f>40001</f>
        <v>40001</v>
      </c>
      <c r="C135" s="209">
        <v>31778.489999999994</v>
      </c>
      <c r="D135" s="209">
        <v>2666.7599999999998</v>
      </c>
      <c r="E135" s="209">
        <f t="shared" si="13"/>
        <v>29111.729999999996</v>
      </c>
      <c r="F135" s="209">
        <f t="shared" si="14"/>
        <v>2666.7599999999998</v>
      </c>
      <c r="G135" s="209">
        <f t="shared" si="12"/>
        <v>26444.969999999998</v>
      </c>
      <c r="H135" s="209">
        <f t="shared" si="11"/>
        <v>27778.35</v>
      </c>
      <c r="I135" s="89"/>
      <c r="J135" s="900"/>
    </row>
    <row r="136" spans="1:10" ht="12.75" hidden="1" outlineLevel="1">
      <c r="A136" s="212" t="s">
        <v>373</v>
      </c>
      <c r="B136" s="105">
        <f>40001</f>
        <v>40001</v>
      </c>
      <c r="C136" s="209">
        <v>31778.489999999994</v>
      </c>
      <c r="D136" s="209">
        <v>2666.7599999999998</v>
      </c>
      <c r="E136" s="209">
        <f t="shared" si="13"/>
        <v>29111.729999999996</v>
      </c>
      <c r="F136" s="209">
        <f t="shared" si="14"/>
        <v>2666.7599999999998</v>
      </c>
      <c r="G136" s="209">
        <f t="shared" si="12"/>
        <v>26444.969999999998</v>
      </c>
      <c r="H136" s="209">
        <f t="shared" si="11"/>
        <v>27778.35</v>
      </c>
      <c r="I136" s="89"/>
      <c r="J136" s="898"/>
    </row>
    <row r="137" spans="1:10" ht="12.75" hidden="1" outlineLevel="1">
      <c r="A137" s="212" t="s">
        <v>482</v>
      </c>
      <c r="B137" s="105">
        <f>40001</f>
        <v>40001</v>
      </c>
      <c r="C137" s="209">
        <v>31778.489999999994</v>
      </c>
      <c r="D137" s="209">
        <v>2666.7599999999998</v>
      </c>
      <c r="E137" s="209">
        <f t="shared" si="13"/>
        <v>29111.729999999996</v>
      </c>
      <c r="F137" s="209">
        <f t="shared" si="14"/>
        <v>2666.7599999999998</v>
      </c>
      <c r="G137" s="209">
        <f t="shared" si="12"/>
        <v>26444.969999999998</v>
      </c>
      <c r="H137" s="209">
        <f t="shared" si="11"/>
        <v>27778.35</v>
      </c>
      <c r="I137" s="89"/>
      <c r="J137" s="898"/>
    </row>
    <row r="138" spans="1:10" ht="12.75" hidden="1" outlineLevel="1">
      <c r="A138" s="212" t="s">
        <v>483</v>
      </c>
      <c r="B138" s="105">
        <f>40001</f>
        <v>40001</v>
      </c>
      <c r="C138" s="209">
        <v>31778.489999999994</v>
      </c>
      <c r="D138" s="209">
        <v>2666.7599999999998</v>
      </c>
      <c r="E138" s="209">
        <f t="shared" si="13"/>
        <v>29111.729999999996</v>
      </c>
      <c r="F138" s="209">
        <f t="shared" si="14"/>
        <v>2666.7599999999998</v>
      </c>
      <c r="G138" s="209">
        <f t="shared" si="12"/>
        <v>26444.969999999998</v>
      </c>
      <c r="H138" s="209">
        <f t="shared" si="11"/>
        <v>27778.35</v>
      </c>
      <c r="I138" s="89"/>
      <c r="J138" s="898"/>
    </row>
    <row r="139" spans="1:10" ht="12.75" hidden="1" outlineLevel="1">
      <c r="A139" s="212" t="s">
        <v>484</v>
      </c>
      <c r="B139" s="105">
        <f>40001</f>
        <v>40001</v>
      </c>
      <c r="C139" s="209">
        <v>31778.489999999994</v>
      </c>
      <c r="D139" s="209">
        <v>2666.7599999999998</v>
      </c>
      <c r="E139" s="209">
        <f t="shared" si="13"/>
        <v>29111.729999999996</v>
      </c>
      <c r="F139" s="209">
        <f t="shared" si="14"/>
        <v>2666.7599999999998</v>
      </c>
      <c r="G139" s="209">
        <f t="shared" si="12"/>
        <v>26444.969999999998</v>
      </c>
      <c r="H139" s="209">
        <f t="shared" si="11"/>
        <v>27778.35</v>
      </c>
      <c r="I139" s="89"/>
      <c r="J139" s="898"/>
    </row>
    <row r="140" spans="1:10" ht="12.75" hidden="1" outlineLevel="1">
      <c r="A140" s="212" t="s">
        <v>485</v>
      </c>
      <c r="B140" s="105">
        <f>40001</f>
        <v>40001</v>
      </c>
      <c r="C140" s="209">
        <v>31778.489999999994</v>
      </c>
      <c r="D140" s="209">
        <v>2666.7599999999998</v>
      </c>
      <c r="E140" s="209">
        <f t="shared" si="13"/>
        <v>29111.729999999996</v>
      </c>
      <c r="F140" s="209">
        <f t="shared" si="14"/>
        <v>2666.7599999999998</v>
      </c>
      <c r="G140" s="209">
        <f t="shared" si="12"/>
        <v>26444.969999999998</v>
      </c>
      <c r="H140" s="209">
        <f t="shared" si="11"/>
        <v>27778.35</v>
      </c>
      <c r="I140" s="89"/>
      <c r="J140" s="898"/>
    </row>
    <row r="141" spans="1:10" ht="12.75" hidden="1" outlineLevel="1">
      <c r="A141" s="212" t="s">
        <v>486</v>
      </c>
      <c r="B141" s="105">
        <f>40001</f>
        <v>40001</v>
      </c>
      <c r="C141" s="209">
        <v>31778.489999999994</v>
      </c>
      <c r="D141" s="209">
        <v>2666.7599999999998</v>
      </c>
      <c r="E141" s="209">
        <f t="shared" si="13"/>
        <v>29111.729999999996</v>
      </c>
      <c r="F141" s="209">
        <f t="shared" si="14"/>
        <v>2666.7599999999998</v>
      </c>
      <c r="G141" s="209">
        <f t="shared" si="12"/>
        <v>26444.969999999998</v>
      </c>
      <c r="H141" s="209">
        <f t="shared" si="11"/>
        <v>27778.35</v>
      </c>
      <c r="I141" s="89"/>
      <c r="J141" s="898"/>
    </row>
    <row r="142" spans="1:10" ht="12.75" hidden="1" outlineLevel="1">
      <c r="A142" s="212" t="s">
        <v>487</v>
      </c>
      <c r="B142" s="105">
        <f>40001</f>
        <v>40001</v>
      </c>
      <c r="C142" s="209">
        <v>31778.489999999994</v>
      </c>
      <c r="D142" s="209">
        <v>2666.7599999999998</v>
      </c>
      <c r="E142" s="209">
        <f t="shared" si="13"/>
        <v>29111.729999999996</v>
      </c>
      <c r="F142" s="209">
        <f t="shared" si="14"/>
        <v>2666.7599999999998</v>
      </c>
      <c r="G142" s="209">
        <f t="shared" si="12"/>
        <v>26444.969999999998</v>
      </c>
      <c r="H142" s="209">
        <f t="shared" si="11"/>
        <v>27778.35</v>
      </c>
      <c r="I142" s="89"/>
      <c r="J142" s="898"/>
    </row>
    <row r="143" spans="1:10" ht="12.75" hidden="1" outlineLevel="1">
      <c r="A143" s="212" t="s">
        <v>488</v>
      </c>
      <c r="B143" s="105">
        <f>40001</f>
        <v>40001</v>
      </c>
      <c r="C143" s="209">
        <v>31778.489999999994</v>
      </c>
      <c r="D143" s="209">
        <v>2666.7599999999998</v>
      </c>
      <c r="E143" s="209">
        <f t="shared" si="13"/>
        <v>29111.729999999996</v>
      </c>
      <c r="F143" s="209">
        <f t="shared" si="14"/>
        <v>2666.7599999999998</v>
      </c>
      <c r="G143" s="209">
        <f t="shared" si="12"/>
        <v>26444.969999999998</v>
      </c>
      <c r="H143" s="209">
        <f t="shared" si="11"/>
        <v>27778.35</v>
      </c>
      <c r="I143" s="89"/>
      <c r="J143" s="898"/>
    </row>
    <row r="144" spans="1:10" ht="12.75" hidden="1" outlineLevel="1">
      <c r="A144" s="212" t="s">
        <v>489</v>
      </c>
      <c r="B144" s="105">
        <f>40001</f>
        <v>40001</v>
      </c>
      <c r="C144" s="209">
        <v>31778.489999999994</v>
      </c>
      <c r="D144" s="209">
        <v>2666.7599999999998</v>
      </c>
      <c r="E144" s="209">
        <f t="shared" si="13"/>
        <v>29111.729999999996</v>
      </c>
      <c r="F144" s="209">
        <f t="shared" si="14"/>
        <v>2666.7599999999998</v>
      </c>
      <c r="G144" s="209">
        <f t="shared" si="12"/>
        <v>26444.969999999998</v>
      </c>
      <c r="H144" s="209">
        <f t="shared" si="11"/>
        <v>27778.35</v>
      </c>
      <c r="I144" s="89"/>
      <c r="J144" s="898"/>
    </row>
    <row r="145" spans="1:10" ht="12.75" hidden="1" outlineLevel="1">
      <c r="A145" s="212" t="s">
        <v>490</v>
      </c>
      <c r="B145" s="105">
        <f>40001</f>
        <v>40001</v>
      </c>
      <c r="C145" s="209">
        <v>31778.489999999994</v>
      </c>
      <c r="D145" s="209">
        <v>2666.7599999999998</v>
      </c>
      <c r="E145" s="209">
        <f t="shared" si="13"/>
        <v>29111.729999999996</v>
      </c>
      <c r="F145" s="209">
        <f t="shared" si="14"/>
        <v>2666.7599999999998</v>
      </c>
      <c r="G145" s="209">
        <f t="shared" si="12"/>
        <v>26444.969999999998</v>
      </c>
      <c r="H145" s="209">
        <f t="shared" si="11"/>
        <v>27778.35</v>
      </c>
      <c r="I145" s="89"/>
      <c r="J145" s="898"/>
    </row>
    <row r="146" spans="1:10" ht="12.75" hidden="1" outlineLevel="1">
      <c r="A146" s="212" t="s">
        <v>491</v>
      </c>
      <c r="B146" s="105">
        <f>40001</f>
        <v>40001</v>
      </c>
      <c r="C146" s="209">
        <v>31778.489999999994</v>
      </c>
      <c r="D146" s="209">
        <v>2666.7599999999998</v>
      </c>
      <c r="E146" s="209">
        <f t="shared" si="13"/>
        <v>29111.729999999996</v>
      </c>
      <c r="F146" s="209">
        <f t="shared" si="14"/>
        <v>2666.7599999999998</v>
      </c>
      <c r="G146" s="209">
        <f t="shared" si="12"/>
        <v>26444.969999999998</v>
      </c>
      <c r="H146" s="209">
        <f aca="true" t="shared" si="15" ref="H146:H198">(E146+G146)/2</f>
        <v>27778.35</v>
      </c>
      <c r="I146" s="89"/>
      <c r="J146" s="898"/>
    </row>
    <row r="147" spans="1:10" ht="12.75" hidden="1" outlineLevel="1">
      <c r="A147" s="212" t="s">
        <v>492</v>
      </c>
      <c r="B147" s="105">
        <f>40001</f>
        <v>40001</v>
      </c>
      <c r="C147" s="209">
        <v>31778.489999999994</v>
      </c>
      <c r="D147" s="209">
        <v>2666.7599999999998</v>
      </c>
      <c r="E147" s="209">
        <f t="shared" si="13"/>
        <v>29111.729999999996</v>
      </c>
      <c r="F147" s="209">
        <f t="shared" si="14"/>
        <v>2666.7599999999998</v>
      </c>
      <c r="G147" s="209">
        <f>E147-F147</f>
        <v>26444.969999999998</v>
      </c>
      <c r="H147" s="209">
        <f t="shared" si="15"/>
        <v>27778.35</v>
      </c>
      <c r="I147" s="89"/>
      <c r="J147" s="898"/>
    </row>
    <row r="148" spans="1:10" ht="12.75" hidden="1" outlineLevel="1">
      <c r="A148" s="212" t="s">
        <v>493</v>
      </c>
      <c r="B148" s="105">
        <f>40001</f>
        <v>40001</v>
      </c>
      <c r="C148" s="209">
        <v>31778.489999999994</v>
      </c>
      <c r="D148" s="209">
        <v>2666.7599999999998</v>
      </c>
      <c r="E148" s="209">
        <f t="shared" si="13"/>
        <v>29111.729999999996</v>
      </c>
      <c r="F148" s="209">
        <f t="shared" si="14"/>
        <v>2666.7599999999998</v>
      </c>
      <c r="G148" s="209">
        <f>E148-F148</f>
        <v>26444.969999999998</v>
      </c>
      <c r="H148" s="209">
        <f t="shared" si="15"/>
        <v>27778.35</v>
      </c>
      <c r="I148" s="89"/>
      <c r="J148" s="898"/>
    </row>
    <row r="149" spans="1:10" ht="36" hidden="1" outlineLevel="1">
      <c r="A149" s="904" t="s">
        <v>1038</v>
      </c>
      <c r="B149" s="894">
        <v>40001</v>
      </c>
      <c r="C149" s="894">
        <v>39834.33</v>
      </c>
      <c r="D149" s="89">
        <v>2000.04</v>
      </c>
      <c r="E149" s="209">
        <f>C149-D149</f>
        <v>37834.29</v>
      </c>
      <c r="F149" s="209">
        <f t="shared" si="14"/>
        <v>2000.04</v>
      </c>
      <c r="G149" s="209">
        <f>E149-F149</f>
        <v>35834.25</v>
      </c>
      <c r="H149" s="209">
        <f t="shared" si="15"/>
        <v>36834.270000000004</v>
      </c>
      <c r="I149" s="89"/>
      <c r="J149" s="898"/>
    </row>
    <row r="150" spans="1:10" ht="36" hidden="1" outlineLevel="1">
      <c r="A150" s="904" t="s">
        <v>1039</v>
      </c>
      <c r="B150" s="894">
        <v>40001</v>
      </c>
      <c r="C150" s="894">
        <v>39834.33</v>
      </c>
      <c r="D150" s="89">
        <v>2000.04</v>
      </c>
      <c r="E150" s="209">
        <f aca="true" t="shared" si="16" ref="E150:E198">C150-D150</f>
        <v>37834.29</v>
      </c>
      <c r="F150" s="209">
        <f aca="true" t="shared" si="17" ref="F150:F198">IF(D150&lt;=E150,D150,E150)</f>
        <v>2000.04</v>
      </c>
      <c r="G150" s="209">
        <f aca="true" t="shared" si="18" ref="G150:G202">E150-F150</f>
        <v>35834.25</v>
      </c>
      <c r="H150" s="209">
        <f t="shared" si="15"/>
        <v>36834.270000000004</v>
      </c>
      <c r="I150" s="89"/>
      <c r="J150" s="898"/>
    </row>
    <row r="151" spans="1:10" ht="36" hidden="1" outlineLevel="1">
      <c r="A151" s="904" t="s">
        <v>1040</v>
      </c>
      <c r="B151" s="894">
        <v>40001</v>
      </c>
      <c r="C151" s="894">
        <v>39834.33</v>
      </c>
      <c r="D151" s="89">
        <v>2000.04</v>
      </c>
      <c r="E151" s="209">
        <f t="shared" si="16"/>
        <v>37834.29</v>
      </c>
      <c r="F151" s="209">
        <f t="shared" si="17"/>
        <v>2000.04</v>
      </c>
      <c r="G151" s="209">
        <f t="shared" si="18"/>
        <v>35834.25</v>
      </c>
      <c r="H151" s="209">
        <f t="shared" si="15"/>
        <v>36834.270000000004</v>
      </c>
      <c r="I151" s="89"/>
      <c r="J151" s="898"/>
    </row>
    <row r="152" spans="1:10" ht="36" hidden="1" outlineLevel="1">
      <c r="A152" s="904" t="s">
        <v>1041</v>
      </c>
      <c r="B152" s="894">
        <v>40001</v>
      </c>
      <c r="C152" s="894">
        <v>39834.33</v>
      </c>
      <c r="D152" s="89">
        <v>2000.04</v>
      </c>
      <c r="E152" s="209">
        <f t="shared" si="16"/>
        <v>37834.29</v>
      </c>
      <c r="F152" s="209">
        <f t="shared" si="17"/>
        <v>2000.04</v>
      </c>
      <c r="G152" s="209">
        <f t="shared" si="18"/>
        <v>35834.25</v>
      </c>
      <c r="H152" s="209">
        <f t="shared" si="15"/>
        <v>36834.270000000004</v>
      </c>
      <c r="I152" s="89"/>
      <c r="J152" s="898"/>
    </row>
    <row r="153" spans="1:10" ht="36" hidden="1" outlineLevel="1">
      <c r="A153" s="904" t="s">
        <v>1042</v>
      </c>
      <c r="B153" s="894">
        <v>40001</v>
      </c>
      <c r="C153" s="894">
        <v>39834.33</v>
      </c>
      <c r="D153" s="89">
        <v>2000.04</v>
      </c>
      <c r="E153" s="209">
        <f t="shared" si="16"/>
        <v>37834.29</v>
      </c>
      <c r="F153" s="209">
        <f t="shared" si="17"/>
        <v>2000.04</v>
      </c>
      <c r="G153" s="209">
        <f t="shared" si="18"/>
        <v>35834.25</v>
      </c>
      <c r="H153" s="209">
        <f t="shared" si="15"/>
        <v>36834.270000000004</v>
      </c>
      <c r="I153" s="89"/>
      <c r="J153" s="898"/>
    </row>
    <row r="154" spans="1:10" ht="36" hidden="1" outlineLevel="1">
      <c r="A154" s="904" t="s">
        <v>1043</v>
      </c>
      <c r="B154" s="894">
        <v>40001</v>
      </c>
      <c r="C154" s="894">
        <v>39834.33</v>
      </c>
      <c r="D154" s="89">
        <v>2000.04</v>
      </c>
      <c r="E154" s="209">
        <f t="shared" si="16"/>
        <v>37834.29</v>
      </c>
      <c r="F154" s="209">
        <f t="shared" si="17"/>
        <v>2000.04</v>
      </c>
      <c r="G154" s="209">
        <f t="shared" si="18"/>
        <v>35834.25</v>
      </c>
      <c r="H154" s="209">
        <f t="shared" si="15"/>
        <v>36834.270000000004</v>
      </c>
      <c r="I154" s="89"/>
      <c r="J154" s="898"/>
    </row>
    <row r="155" spans="1:10" ht="36" hidden="1" outlineLevel="1">
      <c r="A155" s="904" t="s">
        <v>1044</v>
      </c>
      <c r="B155" s="894">
        <v>40001</v>
      </c>
      <c r="C155" s="894">
        <v>39834.33</v>
      </c>
      <c r="D155" s="89">
        <v>2000.04</v>
      </c>
      <c r="E155" s="209">
        <f t="shared" si="16"/>
        <v>37834.29</v>
      </c>
      <c r="F155" s="209">
        <f t="shared" si="17"/>
        <v>2000.04</v>
      </c>
      <c r="G155" s="209">
        <f t="shared" si="18"/>
        <v>35834.25</v>
      </c>
      <c r="H155" s="209">
        <f t="shared" si="15"/>
        <v>36834.270000000004</v>
      </c>
      <c r="I155" s="89"/>
      <c r="J155" s="898"/>
    </row>
    <row r="156" spans="1:10" ht="36" hidden="1" outlineLevel="1">
      <c r="A156" s="904" t="s">
        <v>1045</v>
      </c>
      <c r="B156" s="894">
        <v>40001</v>
      </c>
      <c r="C156" s="894">
        <v>39834.33</v>
      </c>
      <c r="D156" s="89">
        <v>2000.04</v>
      </c>
      <c r="E156" s="209">
        <f t="shared" si="16"/>
        <v>37834.29</v>
      </c>
      <c r="F156" s="209">
        <f t="shared" si="17"/>
        <v>2000.04</v>
      </c>
      <c r="G156" s="209">
        <f t="shared" si="18"/>
        <v>35834.25</v>
      </c>
      <c r="H156" s="209">
        <f t="shared" si="15"/>
        <v>36834.270000000004</v>
      </c>
      <c r="I156" s="89"/>
      <c r="J156" s="898"/>
    </row>
    <row r="157" spans="1:10" ht="36" hidden="1" outlineLevel="1">
      <c r="A157" s="904" t="s">
        <v>1046</v>
      </c>
      <c r="B157" s="894">
        <v>40001</v>
      </c>
      <c r="C157" s="894">
        <v>39834.33</v>
      </c>
      <c r="D157" s="89">
        <v>2000.04</v>
      </c>
      <c r="E157" s="209">
        <f t="shared" si="16"/>
        <v>37834.29</v>
      </c>
      <c r="F157" s="209">
        <f t="shared" si="17"/>
        <v>2000.04</v>
      </c>
      <c r="G157" s="209">
        <f t="shared" si="18"/>
        <v>35834.25</v>
      </c>
      <c r="H157" s="209">
        <f t="shared" si="15"/>
        <v>36834.270000000004</v>
      </c>
      <c r="I157" s="89"/>
      <c r="J157" s="898"/>
    </row>
    <row r="158" spans="1:10" ht="36" hidden="1" outlineLevel="1">
      <c r="A158" s="904" t="s">
        <v>1047</v>
      </c>
      <c r="B158" s="894">
        <v>40001</v>
      </c>
      <c r="C158" s="894">
        <v>39834.33</v>
      </c>
      <c r="D158" s="89">
        <v>2000.04</v>
      </c>
      <c r="E158" s="209">
        <f t="shared" si="16"/>
        <v>37834.29</v>
      </c>
      <c r="F158" s="209">
        <f t="shared" si="17"/>
        <v>2000.04</v>
      </c>
      <c r="G158" s="209">
        <f t="shared" si="18"/>
        <v>35834.25</v>
      </c>
      <c r="H158" s="209">
        <f t="shared" si="15"/>
        <v>36834.270000000004</v>
      </c>
      <c r="I158" s="89"/>
      <c r="J158" s="898"/>
    </row>
    <row r="159" spans="1:10" ht="36" hidden="1" outlineLevel="1">
      <c r="A159" s="904" t="s">
        <v>1048</v>
      </c>
      <c r="B159" s="894">
        <v>40001</v>
      </c>
      <c r="C159" s="894">
        <v>39834.33</v>
      </c>
      <c r="D159" s="89">
        <v>2000.04</v>
      </c>
      <c r="E159" s="209">
        <f t="shared" si="16"/>
        <v>37834.29</v>
      </c>
      <c r="F159" s="209">
        <f t="shared" si="17"/>
        <v>2000.04</v>
      </c>
      <c r="G159" s="209">
        <f t="shared" si="18"/>
        <v>35834.25</v>
      </c>
      <c r="H159" s="209">
        <f t="shared" si="15"/>
        <v>36834.270000000004</v>
      </c>
      <c r="I159" s="89"/>
      <c r="J159" s="898"/>
    </row>
    <row r="160" spans="1:10" ht="36" hidden="1" outlineLevel="1">
      <c r="A160" s="904" t="s">
        <v>1049</v>
      </c>
      <c r="B160" s="894">
        <v>40001</v>
      </c>
      <c r="C160" s="894">
        <v>39834.33</v>
      </c>
      <c r="D160" s="89">
        <v>2000.04</v>
      </c>
      <c r="E160" s="209">
        <f t="shared" si="16"/>
        <v>37834.29</v>
      </c>
      <c r="F160" s="209">
        <f t="shared" si="17"/>
        <v>2000.04</v>
      </c>
      <c r="G160" s="209">
        <f t="shared" si="18"/>
        <v>35834.25</v>
      </c>
      <c r="H160" s="209">
        <f t="shared" si="15"/>
        <v>36834.270000000004</v>
      </c>
      <c r="I160" s="89"/>
      <c r="J160" s="898"/>
    </row>
    <row r="161" spans="1:10" ht="36" hidden="1" outlineLevel="1">
      <c r="A161" s="904" t="s">
        <v>1050</v>
      </c>
      <c r="B161" s="894">
        <v>40001</v>
      </c>
      <c r="C161" s="894">
        <v>39834.33</v>
      </c>
      <c r="D161" s="89">
        <v>2000.04</v>
      </c>
      <c r="E161" s="209">
        <f t="shared" si="16"/>
        <v>37834.29</v>
      </c>
      <c r="F161" s="209">
        <f t="shared" si="17"/>
        <v>2000.04</v>
      </c>
      <c r="G161" s="209">
        <f t="shared" si="18"/>
        <v>35834.25</v>
      </c>
      <c r="H161" s="209">
        <f t="shared" si="15"/>
        <v>36834.270000000004</v>
      </c>
      <c r="I161" s="89"/>
      <c r="J161" s="898"/>
    </row>
    <row r="162" spans="1:10" ht="36" hidden="1" outlineLevel="1">
      <c r="A162" s="904" t="s">
        <v>1051</v>
      </c>
      <c r="B162" s="894">
        <v>40001</v>
      </c>
      <c r="C162" s="894">
        <v>39834.33</v>
      </c>
      <c r="D162" s="89">
        <v>2000.04</v>
      </c>
      <c r="E162" s="209">
        <f t="shared" si="16"/>
        <v>37834.29</v>
      </c>
      <c r="F162" s="209">
        <f t="shared" si="17"/>
        <v>2000.04</v>
      </c>
      <c r="G162" s="209">
        <f t="shared" si="18"/>
        <v>35834.25</v>
      </c>
      <c r="H162" s="209">
        <f t="shared" si="15"/>
        <v>36834.270000000004</v>
      </c>
      <c r="I162" s="89"/>
      <c r="J162" s="898"/>
    </row>
    <row r="163" spans="1:10" ht="36" hidden="1" outlineLevel="1">
      <c r="A163" s="904" t="s">
        <v>1052</v>
      </c>
      <c r="B163" s="894">
        <v>40001</v>
      </c>
      <c r="C163" s="894">
        <v>39834.33</v>
      </c>
      <c r="D163" s="89">
        <v>2000.04</v>
      </c>
      <c r="E163" s="209">
        <f t="shared" si="16"/>
        <v>37834.29</v>
      </c>
      <c r="F163" s="209">
        <f t="shared" si="17"/>
        <v>2000.04</v>
      </c>
      <c r="G163" s="209">
        <f t="shared" si="18"/>
        <v>35834.25</v>
      </c>
      <c r="H163" s="209">
        <f t="shared" si="15"/>
        <v>36834.270000000004</v>
      </c>
      <c r="I163" s="89"/>
      <c r="J163" s="898"/>
    </row>
    <row r="164" spans="1:10" ht="36" hidden="1" outlineLevel="1">
      <c r="A164" s="904" t="s">
        <v>1053</v>
      </c>
      <c r="B164" s="894">
        <v>40001</v>
      </c>
      <c r="C164" s="894">
        <v>39834.33</v>
      </c>
      <c r="D164" s="89">
        <v>2000.04</v>
      </c>
      <c r="E164" s="209">
        <f t="shared" si="16"/>
        <v>37834.29</v>
      </c>
      <c r="F164" s="209">
        <f t="shared" si="17"/>
        <v>2000.04</v>
      </c>
      <c r="G164" s="209">
        <f t="shared" si="18"/>
        <v>35834.25</v>
      </c>
      <c r="H164" s="209">
        <f t="shared" si="15"/>
        <v>36834.270000000004</v>
      </c>
      <c r="I164" s="89"/>
      <c r="J164" s="898"/>
    </row>
    <row r="165" spans="1:10" ht="36" hidden="1" outlineLevel="1">
      <c r="A165" s="904" t="s">
        <v>1054</v>
      </c>
      <c r="B165" s="894">
        <v>40001</v>
      </c>
      <c r="C165" s="894">
        <v>39834.33</v>
      </c>
      <c r="D165" s="89">
        <v>2000.04</v>
      </c>
      <c r="E165" s="209">
        <f t="shared" si="16"/>
        <v>37834.29</v>
      </c>
      <c r="F165" s="209">
        <f t="shared" si="17"/>
        <v>2000.04</v>
      </c>
      <c r="G165" s="209">
        <f t="shared" si="18"/>
        <v>35834.25</v>
      </c>
      <c r="H165" s="209">
        <f t="shared" si="15"/>
        <v>36834.270000000004</v>
      </c>
      <c r="I165" s="89"/>
      <c r="J165" s="898"/>
    </row>
    <row r="166" spans="1:10" ht="36" hidden="1" outlineLevel="1">
      <c r="A166" s="904" t="s">
        <v>1055</v>
      </c>
      <c r="B166" s="894">
        <v>40001</v>
      </c>
      <c r="C166" s="894">
        <v>39834.33</v>
      </c>
      <c r="D166" s="89">
        <v>2000.04</v>
      </c>
      <c r="E166" s="209">
        <f t="shared" si="16"/>
        <v>37834.29</v>
      </c>
      <c r="F166" s="209">
        <f t="shared" si="17"/>
        <v>2000.04</v>
      </c>
      <c r="G166" s="209">
        <f t="shared" si="18"/>
        <v>35834.25</v>
      </c>
      <c r="H166" s="209">
        <f t="shared" si="15"/>
        <v>36834.270000000004</v>
      </c>
      <c r="I166" s="89"/>
      <c r="J166" s="898"/>
    </row>
    <row r="167" spans="1:10" ht="36" hidden="1" outlineLevel="1">
      <c r="A167" s="904" t="s">
        <v>1056</v>
      </c>
      <c r="B167" s="894">
        <v>40001</v>
      </c>
      <c r="C167" s="894">
        <v>39834.33</v>
      </c>
      <c r="D167" s="89">
        <v>2000.04</v>
      </c>
      <c r="E167" s="209">
        <f t="shared" si="16"/>
        <v>37834.29</v>
      </c>
      <c r="F167" s="209">
        <f t="shared" si="17"/>
        <v>2000.04</v>
      </c>
      <c r="G167" s="209">
        <f t="shared" si="18"/>
        <v>35834.25</v>
      </c>
      <c r="H167" s="209">
        <f t="shared" si="15"/>
        <v>36834.270000000004</v>
      </c>
      <c r="I167" s="89"/>
      <c r="J167" s="898"/>
    </row>
    <row r="168" spans="1:10" ht="36" hidden="1" outlineLevel="1">
      <c r="A168" s="904" t="s">
        <v>1057</v>
      </c>
      <c r="B168" s="894">
        <v>40001</v>
      </c>
      <c r="C168" s="894">
        <v>39834.33</v>
      </c>
      <c r="D168" s="89">
        <v>2000.04</v>
      </c>
      <c r="E168" s="209">
        <f t="shared" si="16"/>
        <v>37834.29</v>
      </c>
      <c r="F168" s="209">
        <f t="shared" si="17"/>
        <v>2000.04</v>
      </c>
      <c r="G168" s="209">
        <f t="shared" si="18"/>
        <v>35834.25</v>
      </c>
      <c r="H168" s="209">
        <f t="shared" si="15"/>
        <v>36834.270000000004</v>
      </c>
      <c r="I168" s="89"/>
      <c r="J168" s="898"/>
    </row>
    <row r="169" spans="1:10" ht="36" hidden="1" outlineLevel="1">
      <c r="A169" s="904" t="s">
        <v>1058</v>
      </c>
      <c r="B169" s="894">
        <v>40001</v>
      </c>
      <c r="C169" s="894">
        <v>39834.33</v>
      </c>
      <c r="D169" s="89">
        <v>2000.04</v>
      </c>
      <c r="E169" s="209">
        <f t="shared" si="16"/>
        <v>37834.29</v>
      </c>
      <c r="F169" s="209">
        <f t="shared" si="17"/>
        <v>2000.04</v>
      </c>
      <c r="G169" s="209">
        <f t="shared" si="18"/>
        <v>35834.25</v>
      </c>
      <c r="H169" s="209">
        <f t="shared" si="15"/>
        <v>36834.270000000004</v>
      </c>
      <c r="I169" s="89"/>
      <c r="J169" s="898"/>
    </row>
    <row r="170" spans="1:10" ht="36" hidden="1" outlineLevel="1">
      <c r="A170" s="904" t="s">
        <v>1059</v>
      </c>
      <c r="B170" s="894">
        <v>40001</v>
      </c>
      <c r="C170" s="894">
        <v>39834.33</v>
      </c>
      <c r="D170" s="89">
        <v>2000.04</v>
      </c>
      <c r="E170" s="209">
        <f t="shared" si="16"/>
        <v>37834.29</v>
      </c>
      <c r="F170" s="209">
        <f t="shared" si="17"/>
        <v>2000.04</v>
      </c>
      <c r="G170" s="209">
        <f t="shared" si="18"/>
        <v>35834.25</v>
      </c>
      <c r="H170" s="209">
        <f t="shared" si="15"/>
        <v>36834.270000000004</v>
      </c>
      <c r="I170" s="89"/>
      <c r="J170" s="898"/>
    </row>
    <row r="171" spans="1:10" ht="24" hidden="1" outlineLevel="1">
      <c r="A171" s="904" t="s">
        <v>1060</v>
      </c>
      <c r="B171" s="894">
        <v>40001</v>
      </c>
      <c r="C171" s="894">
        <v>39834.33</v>
      </c>
      <c r="D171" s="89">
        <v>2000.04</v>
      </c>
      <c r="E171" s="209">
        <f t="shared" si="16"/>
        <v>37834.29</v>
      </c>
      <c r="F171" s="209">
        <f t="shared" si="17"/>
        <v>2000.04</v>
      </c>
      <c r="G171" s="209">
        <f t="shared" si="18"/>
        <v>35834.25</v>
      </c>
      <c r="H171" s="209">
        <f t="shared" si="15"/>
        <v>36834.270000000004</v>
      </c>
      <c r="I171" s="89"/>
      <c r="J171" s="898"/>
    </row>
    <row r="172" spans="1:10" ht="24" hidden="1" outlineLevel="1">
      <c r="A172" s="904" t="s">
        <v>1061</v>
      </c>
      <c r="B172" s="894">
        <v>40001</v>
      </c>
      <c r="C172" s="894">
        <v>39834.33</v>
      </c>
      <c r="D172" s="89">
        <v>2000.04</v>
      </c>
      <c r="E172" s="209">
        <f t="shared" si="16"/>
        <v>37834.29</v>
      </c>
      <c r="F172" s="209">
        <f t="shared" si="17"/>
        <v>2000.04</v>
      </c>
      <c r="G172" s="209">
        <f t="shared" si="18"/>
        <v>35834.25</v>
      </c>
      <c r="H172" s="209">
        <f t="shared" si="15"/>
        <v>36834.270000000004</v>
      </c>
      <c r="I172" s="89"/>
      <c r="J172" s="898"/>
    </row>
    <row r="173" spans="1:10" ht="36" hidden="1" outlineLevel="1">
      <c r="A173" s="904" t="s">
        <v>1062</v>
      </c>
      <c r="B173" s="894">
        <v>1043266.76</v>
      </c>
      <c r="C173" s="894">
        <v>995450.42</v>
      </c>
      <c r="D173" s="89">
        <v>52163.28</v>
      </c>
      <c r="E173" s="209">
        <f t="shared" si="16"/>
        <v>943287.14</v>
      </c>
      <c r="F173" s="209">
        <f t="shared" si="17"/>
        <v>52163.28</v>
      </c>
      <c r="G173" s="209">
        <f t="shared" si="18"/>
        <v>891123.86</v>
      </c>
      <c r="H173" s="209">
        <f t="shared" si="15"/>
        <v>917205.5</v>
      </c>
      <c r="I173" s="89"/>
      <c r="J173" s="898"/>
    </row>
    <row r="174" spans="1:10" ht="36" hidden="1" outlineLevel="1">
      <c r="A174" s="904" t="s">
        <v>1063</v>
      </c>
      <c r="B174" s="894">
        <v>1043266.76</v>
      </c>
      <c r="C174" s="894">
        <v>995450.42</v>
      </c>
      <c r="D174" s="89">
        <v>52163.28</v>
      </c>
      <c r="E174" s="209">
        <f t="shared" si="16"/>
        <v>943287.14</v>
      </c>
      <c r="F174" s="209">
        <f t="shared" si="17"/>
        <v>52163.28</v>
      </c>
      <c r="G174" s="209">
        <f t="shared" si="18"/>
        <v>891123.86</v>
      </c>
      <c r="H174" s="209">
        <f t="shared" si="15"/>
        <v>917205.5</v>
      </c>
      <c r="I174" s="89"/>
      <c r="J174" s="898"/>
    </row>
    <row r="175" spans="1:10" ht="24" hidden="1" outlineLevel="1">
      <c r="A175" s="904" t="s">
        <v>1064</v>
      </c>
      <c r="B175" s="894">
        <v>55610.72</v>
      </c>
      <c r="C175" s="894">
        <v>53061.91</v>
      </c>
      <c r="D175" s="89">
        <v>2780.52</v>
      </c>
      <c r="E175" s="209">
        <f t="shared" si="16"/>
        <v>50281.39000000001</v>
      </c>
      <c r="F175" s="209">
        <f t="shared" si="17"/>
        <v>2780.52</v>
      </c>
      <c r="G175" s="209">
        <f t="shared" si="18"/>
        <v>47500.87000000001</v>
      </c>
      <c r="H175" s="209">
        <f t="shared" si="15"/>
        <v>48891.130000000005</v>
      </c>
      <c r="I175" s="89"/>
      <c r="J175" s="898"/>
    </row>
    <row r="176" spans="1:10" ht="24" hidden="1" outlineLevel="1">
      <c r="A176" s="904" t="s">
        <v>1065</v>
      </c>
      <c r="B176" s="894">
        <v>55610.72</v>
      </c>
      <c r="C176" s="894">
        <v>53061.91</v>
      </c>
      <c r="D176" s="89">
        <v>2780.52</v>
      </c>
      <c r="E176" s="209">
        <f t="shared" si="16"/>
        <v>50281.39000000001</v>
      </c>
      <c r="F176" s="209">
        <f t="shared" si="17"/>
        <v>2780.52</v>
      </c>
      <c r="G176" s="209">
        <f t="shared" si="18"/>
        <v>47500.87000000001</v>
      </c>
      <c r="H176" s="209">
        <f t="shared" si="15"/>
        <v>48891.130000000005</v>
      </c>
      <c r="I176" s="89"/>
      <c r="J176" s="898"/>
    </row>
    <row r="177" spans="1:10" ht="36" hidden="1" outlineLevel="1">
      <c r="A177" s="904" t="s">
        <v>1066</v>
      </c>
      <c r="B177" s="894">
        <v>40001</v>
      </c>
      <c r="C177" s="894">
        <v>39834.33</v>
      </c>
      <c r="D177" s="89">
        <v>2000.04</v>
      </c>
      <c r="E177" s="209">
        <f t="shared" si="16"/>
        <v>37834.29</v>
      </c>
      <c r="F177" s="209">
        <f t="shared" si="17"/>
        <v>2000.04</v>
      </c>
      <c r="G177" s="209">
        <f t="shared" si="18"/>
        <v>35834.25</v>
      </c>
      <c r="H177" s="209">
        <f t="shared" si="15"/>
        <v>36834.270000000004</v>
      </c>
      <c r="I177" s="89"/>
      <c r="J177" s="898"/>
    </row>
    <row r="178" spans="1:10" ht="36" hidden="1" outlineLevel="1">
      <c r="A178" s="904" t="s">
        <v>1067</v>
      </c>
      <c r="B178" s="894">
        <v>40001</v>
      </c>
      <c r="C178" s="894">
        <v>39834.33</v>
      </c>
      <c r="D178" s="89">
        <v>2000.04</v>
      </c>
      <c r="E178" s="209">
        <f t="shared" si="16"/>
        <v>37834.29</v>
      </c>
      <c r="F178" s="209">
        <f t="shared" si="17"/>
        <v>2000.04</v>
      </c>
      <c r="G178" s="209">
        <f t="shared" si="18"/>
        <v>35834.25</v>
      </c>
      <c r="H178" s="209">
        <f t="shared" si="15"/>
        <v>36834.270000000004</v>
      </c>
      <c r="I178" s="89"/>
      <c r="J178" s="898"/>
    </row>
    <row r="179" spans="1:10" ht="24" hidden="1" outlineLevel="1">
      <c r="A179" s="904" t="s">
        <v>1068</v>
      </c>
      <c r="B179" s="894">
        <v>40001</v>
      </c>
      <c r="C179" s="894">
        <v>39834.33</v>
      </c>
      <c r="D179" s="89">
        <v>2000.04</v>
      </c>
      <c r="E179" s="209">
        <f t="shared" si="16"/>
        <v>37834.29</v>
      </c>
      <c r="F179" s="209">
        <f t="shared" si="17"/>
        <v>2000.04</v>
      </c>
      <c r="G179" s="209">
        <f t="shared" si="18"/>
        <v>35834.25</v>
      </c>
      <c r="H179" s="209">
        <f t="shared" si="15"/>
        <v>36834.270000000004</v>
      </c>
      <c r="I179" s="89"/>
      <c r="J179" s="898"/>
    </row>
    <row r="180" spans="1:10" ht="36" hidden="1" outlineLevel="1">
      <c r="A180" s="904" t="s">
        <v>1069</v>
      </c>
      <c r="B180" s="894">
        <v>40001</v>
      </c>
      <c r="C180" s="894">
        <v>39834.33</v>
      </c>
      <c r="D180" s="89">
        <v>2000.04</v>
      </c>
      <c r="E180" s="209">
        <f t="shared" si="16"/>
        <v>37834.29</v>
      </c>
      <c r="F180" s="209">
        <f t="shared" si="17"/>
        <v>2000.04</v>
      </c>
      <c r="G180" s="209">
        <f t="shared" si="18"/>
        <v>35834.25</v>
      </c>
      <c r="H180" s="209">
        <f t="shared" si="15"/>
        <v>36834.270000000004</v>
      </c>
      <c r="I180" s="89"/>
      <c r="J180" s="898"/>
    </row>
    <row r="181" spans="1:10" ht="24" hidden="1" outlineLevel="1">
      <c r="A181" s="904" t="s">
        <v>1070</v>
      </c>
      <c r="B181" s="894">
        <v>40001</v>
      </c>
      <c r="C181" s="894">
        <v>39834.33</v>
      </c>
      <c r="D181" s="89">
        <v>2000.04</v>
      </c>
      <c r="E181" s="209">
        <f t="shared" si="16"/>
        <v>37834.29</v>
      </c>
      <c r="F181" s="209">
        <f t="shared" si="17"/>
        <v>2000.04</v>
      </c>
      <c r="G181" s="209">
        <f t="shared" si="18"/>
        <v>35834.25</v>
      </c>
      <c r="H181" s="209">
        <f t="shared" si="15"/>
        <v>36834.270000000004</v>
      </c>
      <c r="I181" s="89"/>
      <c r="J181" s="898"/>
    </row>
    <row r="182" spans="1:10" ht="24" hidden="1" outlineLevel="1">
      <c r="A182" s="904" t="s">
        <v>1071</v>
      </c>
      <c r="B182" s="894">
        <v>40001</v>
      </c>
      <c r="C182" s="894">
        <v>39834.33</v>
      </c>
      <c r="D182" s="89">
        <v>2000.04</v>
      </c>
      <c r="E182" s="209">
        <f t="shared" si="16"/>
        <v>37834.29</v>
      </c>
      <c r="F182" s="209">
        <f t="shared" si="17"/>
        <v>2000.04</v>
      </c>
      <c r="G182" s="209">
        <f t="shared" si="18"/>
        <v>35834.25</v>
      </c>
      <c r="H182" s="209">
        <f t="shared" si="15"/>
        <v>36834.270000000004</v>
      </c>
      <c r="I182" s="89"/>
      <c r="J182" s="898"/>
    </row>
    <row r="183" spans="1:10" ht="36" hidden="1" outlineLevel="1">
      <c r="A183" s="904" t="s">
        <v>1072</v>
      </c>
      <c r="B183" s="894">
        <v>207658.26</v>
      </c>
      <c r="C183" s="894">
        <v>198140.62</v>
      </c>
      <c r="D183" s="89">
        <v>10382.880000000001</v>
      </c>
      <c r="E183" s="209">
        <f t="shared" si="16"/>
        <v>187757.74</v>
      </c>
      <c r="F183" s="209">
        <f t="shared" si="17"/>
        <v>10382.880000000001</v>
      </c>
      <c r="G183" s="209">
        <f t="shared" si="18"/>
        <v>177374.86</v>
      </c>
      <c r="H183" s="209">
        <f t="shared" si="15"/>
        <v>182566.3</v>
      </c>
      <c r="I183" s="89"/>
      <c r="J183" s="898"/>
    </row>
    <row r="184" spans="1:10" ht="36" hidden="1" outlineLevel="1">
      <c r="A184" s="904" t="s">
        <v>1073</v>
      </c>
      <c r="B184" s="894">
        <v>207658.26</v>
      </c>
      <c r="C184" s="894">
        <v>198140.62</v>
      </c>
      <c r="D184" s="89">
        <v>10382.880000000001</v>
      </c>
      <c r="E184" s="209">
        <f t="shared" si="16"/>
        <v>187757.74</v>
      </c>
      <c r="F184" s="209">
        <f t="shared" si="17"/>
        <v>10382.880000000001</v>
      </c>
      <c r="G184" s="209">
        <f t="shared" si="18"/>
        <v>177374.86</v>
      </c>
      <c r="H184" s="209">
        <f t="shared" si="15"/>
        <v>182566.3</v>
      </c>
      <c r="I184" s="89"/>
      <c r="J184" s="898"/>
    </row>
    <row r="185" spans="1:10" ht="36" hidden="1" outlineLevel="1">
      <c r="A185" s="904" t="s">
        <v>1074</v>
      </c>
      <c r="B185" s="894">
        <v>217784.28</v>
      </c>
      <c r="C185" s="894">
        <v>207802.55</v>
      </c>
      <c r="D185" s="89">
        <v>10889.16</v>
      </c>
      <c r="E185" s="209">
        <f t="shared" si="16"/>
        <v>196913.38999999998</v>
      </c>
      <c r="F185" s="209">
        <f t="shared" si="17"/>
        <v>10889.16</v>
      </c>
      <c r="G185" s="209">
        <f t="shared" si="18"/>
        <v>186024.22999999998</v>
      </c>
      <c r="H185" s="209">
        <f t="shared" si="15"/>
        <v>191468.81</v>
      </c>
      <c r="I185" s="89"/>
      <c r="J185" s="898"/>
    </row>
    <row r="186" spans="1:10" ht="36" hidden="1" outlineLevel="1">
      <c r="A186" s="904" t="s">
        <v>1075</v>
      </c>
      <c r="B186" s="894">
        <v>217784.28</v>
      </c>
      <c r="C186" s="894">
        <v>207802.55</v>
      </c>
      <c r="D186" s="89">
        <v>10889.16</v>
      </c>
      <c r="E186" s="209">
        <f t="shared" si="16"/>
        <v>196913.38999999998</v>
      </c>
      <c r="F186" s="209">
        <f t="shared" si="17"/>
        <v>10889.16</v>
      </c>
      <c r="G186" s="209">
        <f t="shared" si="18"/>
        <v>186024.22999999998</v>
      </c>
      <c r="H186" s="209">
        <f t="shared" si="15"/>
        <v>191468.81</v>
      </c>
      <c r="I186" s="89"/>
      <c r="J186" s="898"/>
    </row>
    <row r="187" spans="1:10" ht="36" hidden="1" outlineLevel="1">
      <c r="A187" s="904" t="s">
        <v>1076</v>
      </c>
      <c r="B187" s="894">
        <v>220293.7</v>
      </c>
      <c r="C187" s="894">
        <v>210196.91</v>
      </c>
      <c r="D187" s="89">
        <v>11014.68</v>
      </c>
      <c r="E187" s="209">
        <f t="shared" si="16"/>
        <v>199182.23</v>
      </c>
      <c r="F187" s="209">
        <f t="shared" si="17"/>
        <v>11014.68</v>
      </c>
      <c r="G187" s="209">
        <f t="shared" si="18"/>
        <v>188167.55000000002</v>
      </c>
      <c r="H187" s="209">
        <f t="shared" si="15"/>
        <v>193674.89</v>
      </c>
      <c r="I187" s="89"/>
      <c r="J187" s="898"/>
    </row>
    <row r="188" spans="1:10" ht="36" hidden="1" outlineLevel="1">
      <c r="A188" s="904" t="s">
        <v>1077</v>
      </c>
      <c r="B188" s="894">
        <v>220293.7</v>
      </c>
      <c r="C188" s="894">
        <v>210196.91</v>
      </c>
      <c r="D188" s="89">
        <v>11014.68</v>
      </c>
      <c r="E188" s="209">
        <f t="shared" si="16"/>
        <v>199182.23</v>
      </c>
      <c r="F188" s="209">
        <f t="shared" si="17"/>
        <v>11014.68</v>
      </c>
      <c r="G188" s="209">
        <f t="shared" si="18"/>
        <v>188167.55000000002</v>
      </c>
      <c r="H188" s="209">
        <f t="shared" si="15"/>
        <v>193674.89</v>
      </c>
      <c r="I188" s="89"/>
      <c r="J188" s="898"/>
    </row>
    <row r="189" spans="1:10" ht="36" hidden="1" outlineLevel="1">
      <c r="A189" s="904" t="s">
        <v>1078</v>
      </c>
      <c r="B189" s="894">
        <v>161058.72</v>
      </c>
      <c r="C189" s="894">
        <v>153676.84</v>
      </c>
      <c r="D189" s="89">
        <v>8052.960000000001</v>
      </c>
      <c r="E189" s="209">
        <f t="shared" si="16"/>
        <v>145623.88</v>
      </c>
      <c r="F189" s="209">
        <f t="shared" si="17"/>
        <v>8052.960000000001</v>
      </c>
      <c r="G189" s="209">
        <f t="shared" si="18"/>
        <v>137570.92</v>
      </c>
      <c r="H189" s="209">
        <f t="shared" si="15"/>
        <v>141597.40000000002</v>
      </c>
      <c r="I189" s="89"/>
      <c r="J189" s="898"/>
    </row>
    <row r="190" spans="1:10" ht="36" hidden="1" outlineLevel="1">
      <c r="A190" s="904" t="s">
        <v>1079</v>
      </c>
      <c r="B190" s="894">
        <v>161058.72</v>
      </c>
      <c r="C190" s="894">
        <v>153676.84</v>
      </c>
      <c r="D190" s="89">
        <v>8052.960000000001</v>
      </c>
      <c r="E190" s="209">
        <f t="shared" si="16"/>
        <v>145623.88</v>
      </c>
      <c r="F190" s="209">
        <f t="shared" si="17"/>
        <v>8052.960000000001</v>
      </c>
      <c r="G190" s="209">
        <f t="shared" si="18"/>
        <v>137570.92</v>
      </c>
      <c r="H190" s="209">
        <f t="shared" si="15"/>
        <v>141597.40000000002</v>
      </c>
      <c r="I190" s="89"/>
      <c r="J190" s="898"/>
    </row>
    <row r="191" spans="1:10" ht="36" hidden="1" outlineLevel="1">
      <c r="A191" s="904" t="s">
        <v>1080</v>
      </c>
      <c r="B191" s="894">
        <v>57341.44</v>
      </c>
      <c r="C191" s="894">
        <v>54713.32</v>
      </c>
      <c r="D191" s="89">
        <v>2867.04</v>
      </c>
      <c r="E191" s="209">
        <f t="shared" si="16"/>
        <v>51846.28</v>
      </c>
      <c r="F191" s="209">
        <f t="shared" si="17"/>
        <v>2867.04</v>
      </c>
      <c r="G191" s="209">
        <f t="shared" si="18"/>
        <v>48979.24</v>
      </c>
      <c r="H191" s="209">
        <f t="shared" si="15"/>
        <v>50412.759999999995</v>
      </c>
      <c r="I191" s="89"/>
      <c r="J191" s="898"/>
    </row>
    <row r="192" spans="1:10" ht="36" hidden="1" outlineLevel="1">
      <c r="A192" s="904" t="s">
        <v>1081</v>
      </c>
      <c r="B192" s="894">
        <v>57341.44</v>
      </c>
      <c r="C192" s="894">
        <v>54713.32</v>
      </c>
      <c r="D192" s="89">
        <v>2867.04</v>
      </c>
      <c r="E192" s="209">
        <f t="shared" si="16"/>
        <v>51846.28</v>
      </c>
      <c r="F192" s="209">
        <f t="shared" si="17"/>
        <v>2867.04</v>
      </c>
      <c r="G192" s="209">
        <f t="shared" si="18"/>
        <v>48979.24</v>
      </c>
      <c r="H192" s="209">
        <f t="shared" si="15"/>
        <v>50412.759999999995</v>
      </c>
      <c r="I192" s="89"/>
      <c r="J192" s="898"/>
    </row>
    <row r="193" spans="1:10" ht="36" hidden="1" outlineLevel="1">
      <c r="A193" s="904" t="s">
        <v>1082</v>
      </c>
      <c r="B193" s="894">
        <v>110483.12</v>
      </c>
      <c r="C193" s="894">
        <v>105419.26999999999</v>
      </c>
      <c r="D193" s="89">
        <v>5524.200000000001</v>
      </c>
      <c r="E193" s="209">
        <f t="shared" si="16"/>
        <v>99895.06999999999</v>
      </c>
      <c r="F193" s="209">
        <f t="shared" si="17"/>
        <v>5524.200000000001</v>
      </c>
      <c r="G193" s="209">
        <f t="shared" si="18"/>
        <v>94370.87</v>
      </c>
      <c r="H193" s="209">
        <f t="shared" si="15"/>
        <v>97132.97</v>
      </c>
      <c r="I193" s="89"/>
      <c r="J193" s="898"/>
    </row>
    <row r="194" spans="1:10" ht="36" hidden="1" outlineLevel="1">
      <c r="A194" s="904" t="s">
        <v>1083</v>
      </c>
      <c r="B194" s="894">
        <v>110483.12</v>
      </c>
      <c r="C194" s="894">
        <v>105419.26999999999</v>
      </c>
      <c r="D194" s="89">
        <v>5524.200000000001</v>
      </c>
      <c r="E194" s="209">
        <f t="shared" si="16"/>
        <v>99895.06999999999</v>
      </c>
      <c r="F194" s="209">
        <f t="shared" si="17"/>
        <v>5524.200000000001</v>
      </c>
      <c r="G194" s="209">
        <f t="shared" si="18"/>
        <v>94370.87</v>
      </c>
      <c r="H194" s="209">
        <f t="shared" si="15"/>
        <v>97132.97</v>
      </c>
      <c r="I194" s="89"/>
      <c r="J194" s="898"/>
    </row>
    <row r="195" spans="1:10" ht="36" hidden="1" outlineLevel="1">
      <c r="A195" s="904" t="s">
        <v>1084</v>
      </c>
      <c r="B195" s="894">
        <v>234453.07</v>
      </c>
      <c r="C195" s="894">
        <v>223707.28</v>
      </c>
      <c r="D195" s="89">
        <v>11722.68</v>
      </c>
      <c r="E195" s="209">
        <f t="shared" si="16"/>
        <v>211984.6</v>
      </c>
      <c r="F195" s="209">
        <f t="shared" si="17"/>
        <v>11722.68</v>
      </c>
      <c r="G195" s="209">
        <f t="shared" si="18"/>
        <v>200261.92</v>
      </c>
      <c r="H195" s="209">
        <f t="shared" si="15"/>
        <v>206123.26</v>
      </c>
      <c r="I195" s="89"/>
      <c r="J195" s="898"/>
    </row>
    <row r="196" spans="1:10" ht="36" hidden="1" outlineLevel="1">
      <c r="A196" s="904" t="s">
        <v>1085</v>
      </c>
      <c r="B196" s="894">
        <v>234453.07</v>
      </c>
      <c r="C196" s="894">
        <v>223707.28</v>
      </c>
      <c r="D196" s="89">
        <v>11722.68</v>
      </c>
      <c r="E196" s="209">
        <f t="shared" si="16"/>
        <v>211984.6</v>
      </c>
      <c r="F196" s="209">
        <f t="shared" si="17"/>
        <v>11722.68</v>
      </c>
      <c r="G196" s="209">
        <f t="shared" si="18"/>
        <v>200261.92</v>
      </c>
      <c r="H196" s="209">
        <f t="shared" si="15"/>
        <v>206123.26</v>
      </c>
      <c r="I196" s="89"/>
      <c r="J196" s="898"/>
    </row>
    <row r="197" spans="1:10" ht="36" hidden="1" outlineLevel="1">
      <c r="A197" s="904" t="s">
        <v>1086</v>
      </c>
      <c r="B197" s="894">
        <v>54848.02</v>
      </c>
      <c r="C197" s="894">
        <v>52334.189999999995</v>
      </c>
      <c r="D197" s="89">
        <v>2742.36</v>
      </c>
      <c r="E197" s="209">
        <f t="shared" si="16"/>
        <v>49591.829999999994</v>
      </c>
      <c r="F197" s="209">
        <f t="shared" si="17"/>
        <v>2742.36</v>
      </c>
      <c r="G197" s="209">
        <f t="shared" si="18"/>
        <v>46849.469999999994</v>
      </c>
      <c r="H197" s="209">
        <f t="shared" si="15"/>
        <v>48220.649999999994</v>
      </c>
      <c r="I197" s="89"/>
      <c r="J197" s="898"/>
    </row>
    <row r="198" spans="1:10" ht="36" hidden="1" outlineLevel="1">
      <c r="A198" s="904" t="s">
        <v>1087</v>
      </c>
      <c r="B198" s="894">
        <v>54848.02</v>
      </c>
      <c r="C198" s="894">
        <v>52334.189999999995</v>
      </c>
      <c r="D198" s="89">
        <v>2742.36</v>
      </c>
      <c r="E198" s="209">
        <f t="shared" si="16"/>
        <v>49591.829999999994</v>
      </c>
      <c r="F198" s="209">
        <f t="shared" si="17"/>
        <v>2742.36</v>
      </c>
      <c r="G198" s="209">
        <f t="shared" si="18"/>
        <v>46849.469999999994</v>
      </c>
      <c r="H198" s="209">
        <f t="shared" si="15"/>
        <v>48220.649999999994</v>
      </c>
      <c r="I198" s="89"/>
      <c r="J198" s="898"/>
    </row>
    <row r="199" spans="1:10" ht="25.5" hidden="1" outlineLevel="1">
      <c r="A199" s="1018" t="s">
        <v>1307</v>
      </c>
      <c r="B199" s="1017">
        <v>45000</v>
      </c>
      <c r="C199" s="107"/>
      <c r="D199" s="89">
        <f>B199/240*8</f>
        <v>1500</v>
      </c>
      <c r="E199" s="209">
        <f aca="true" t="shared" si="19" ref="E199:E211">B199-D199</f>
        <v>43500</v>
      </c>
      <c r="F199" s="209">
        <f aca="true" t="shared" si="20" ref="F199:F209">B199/240*12</f>
        <v>2250</v>
      </c>
      <c r="G199" s="209">
        <f t="shared" si="18"/>
        <v>41250</v>
      </c>
      <c r="H199" s="209">
        <f aca="true" t="shared" si="21" ref="H199:H210">(E199+G199)</f>
        <v>84750</v>
      </c>
      <c r="I199" s="89">
        <f aca="true" t="shared" si="22" ref="I199:I210">H199*0.022</f>
        <v>1864.5</v>
      </c>
      <c r="J199" s="898"/>
    </row>
    <row r="200" spans="1:10" ht="25.5" hidden="1" outlineLevel="1">
      <c r="A200" s="1018" t="s">
        <v>1308</v>
      </c>
      <c r="B200" s="1017">
        <v>45000</v>
      </c>
      <c r="C200" s="107"/>
      <c r="D200" s="89">
        <f>B200/240*8</f>
        <v>1500</v>
      </c>
      <c r="E200" s="209">
        <f t="shared" si="19"/>
        <v>43500</v>
      </c>
      <c r="F200" s="209">
        <f t="shared" si="20"/>
        <v>2250</v>
      </c>
      <c r="G200" s="209">
        <f t="shared" si="18"/>
        <v>41250</v>
      </c>
      <c r="H200" s="209">
        <f t="shared" si="21"/>
        <v>84750</v>
      </c>
      <c r="I200" s="89">
        <f t="shared" si="22"/>
        <v>1864.5</v>
      </c>
      <c r="J200" s="898"/>
    </row>
    <row r="201" spans="1:10" ht="38.25" hidden="1" outlineLevel="1">
      <c r="A201" s="1018" t="s">
        <v>1309</v>
      </c>
      <c r="B201" s="1017">
        <v>63000</v>
      </c>
      <c r="C201" s="107"/>
      <c r="D201" s="89">
        <f>B201/240*8</f>
        <v>2100</v>
      </c>
      <c r="E201" s="209">
        <f t="shared" si="19"/>
        <v>60900</v>
      </c>
      <c r="F201" s="209">
        <f t="shared" si="20"/>
        <v>3150</v>
      </c>
      <c r="G201" s="209">
        <f t="shared" si="18"/>
        <v>57750</v>
      </c>
      <c r="H201" s="209">
        <f t="shared" si="21"/>
        <v>118650</v>
      </c>
      <c r="I201" s="89">
        <f t="shared" si="22"/>
        <v>2610.2999999999997</v>
      </c>
      <c r="J201" s="898"/>
    </row>
    <row r="202" spans="1:10" ht="38.25" hidden="1" outlineLevel="1">
      <c r="A202" s="1018" t="s">
        <v>1310</v>
      </c>
      <c r="B202" s="1017">
        <v>63000</v>
      </c>
      <c r="C202" s="107"/>
      <c r="D202" s="89">
        <f>B202/240*8</f>
        <v>2100</v>
      </c>
      <c r="E202" s="209">
        <f t="shared" si="19"/>
        <v>60900</v>
      </c>
      <c r="F202" s="209">
        <f t="shared" si="20"/>
        <v>3150</v>
      </c>
      <c r="G202" s="209">
        <f t="shared" si="18"/>
        <v>57750</v>
      </c>
      <c r="H202" s="209">
        <f t="shared" si="21"/>
        <v>118650</v>
      </c>
      <c r="I202" s="89">
        <f t="shared" si="22"/>
        <v>2610.2999999999997</v>
      </c>
      <c r="J202" s="898"/>
    </row>
    <row r="203" spans="1:10" ht="38.25" hidden="1" outlineLevel="1">
      <c r="A203" s="1018" t="s">
        <v>1311</v>
      </c>
      <c r="B203" s="1017">
        <v>40100</v>
      </c>
      <c r="C203" s="107"/>
      <c r="D203" s="89">
        <f>B203/240*8</f>
        <v>1336.6666666666667</v>
      </c>
      <c r="E203" s="209">
        <f t="shared" si="19"/>
        <v>38763.333333333336</v>
      </c>
      <c r="F203" s="209">
        <f t="shared" si="20"/>
        <v>2005</v>
      </c>
      <c r="G203" s="209">
        <f aca="true" t="shared" si="23" ref="G203:G210">E203-F203</f>
        <v>36758.333333333336</v>
      </c>
      <c r="H203" s="209">
        <f t="shared" si="21"/>
        <v>75521.66666666667</v>
      </c>
      <c r="I203" s="89"/>
      <c r="J203" s="898"/>
    </row>
    <row r="204" spans="1:10" ht="51" hidden="1" outlineLevel="1">
      <c r="A204" s="1018" t="s">
        <v>1312</v>
      </c>
      <c r="B204" s="1017">
        <v>82485.83</v>
      </c>
      <c r="C204" s="107"/>
      <c r="D204" s="89">
        <f aca="true" t="shared" si="24" ref="D204:D210">B204/240*3</f>
        <v>1031.072875</v>
      </c>
      <c r="E204" s="209">
        <f t="shared" si="19"/>
        <v>81454.757125</v>
      </c>
      <c r="F204" s="209">
        <f t="shared" si="20"/>
        <v>4124.2915</v>
      </c>
      <c r="G204" s="209">
        <f t="shared" si="23"/>
        <v>77330.465625</v>
      </c>
      <c r="H204" s="209">
        <f t="shared" si="21"/>
        <v>158785.22275000002</v>
      </c>
      <c r="I204" s="89">
        <f t="shared" si="22"/>
        <v>3493.2749005</v>
      </c>
      <c r="J204" s="898"/>
    </row>
    <row r="205" spans="1:10" ht="51" hidden="1" outlineLevel="1">
      <c r="A205" s="1018" t="s">
        <v>1313</v>
      </c>
      <c r="B205" s="1017">
        <v>73174.17</v>
      </c>
      <c r="C205" s="107"/>
      <c r="D205" s="89">
        <f t="shared" si="24"/>
        <v>914.677125</v>
      </c>
      <c r="E205" s="209">
        <f t="shared" si="19"/>
        <v>72259.492875</v>
      </c>
      <c r="F205" s="209">
        <f t="shared" si="20"/>
        <v>3658.7085</v>
      </c>
      <c r="G205" s="209">
        <f t="shared" si="23"/>
        <v>68600.784375</v>
      </c>
      <c r="H205" s="209">
        <f t="shared" si="21"/>
        <v>140860.27724999998</v>
      </c>
      <c r="I205" s="89">
        <f t="shared" si="22"/>
        <v>3098.9260994999995</v>
      </c>
      <c r="J205" s="898"/>
    </row>
    <row r="206" spans="1:10" ht="51" hidden="1" outlineLevel="1">
      <c r="A206" s="1018" t="s">
        <v>1314</v>
      </c>
      <c r="B206" s="1017">
        <v>57185.84</v>
      </c>
      <c r="C206" s="107"/>
      <c r="D206" s="89">
        <f t="shared" si="24"/>
        <v>714.823</v>
      </c>
      <c r="E206" s="209">
        <f t="shared" si="19"/>
        <v>56471.017</v>
      </c>
      <c r="F206" s="209">
        <f t="shared" si="20"/>
        <v>2859.292</v>
      </c>
      <c r="G206" s="209">
        <f t="shared" si="23"/>
        <v>53611.725</v>
      </c>
      <c r="H206" s="209">
        <f t="shared" si="21"/>
        <v>110082.742</v>
      </c>
      <c r="I206" s="89">
        <f t="shared" si="22"/>
        <v>2421.820324</v>
      </c>
      <c r="J206" s="898"/>
    </row>
    <row r="207" spans="1:10" ht="51" hidden="1" outlineLevel="1">
      <c r="A207" s="1018" t="s">
        <v>1315</v>
      </c>
      <c r="B207" s="1017">
        <v>57185.83</v>
      </c>
      <c r="C207" s="107"/>
      <c r="D207" s="89">
        <f t="shared" si="24"/>
        <v>714.8228750000001</v>
      </c>
      <c r="E207" s="209">
        <f t="shared" si="19"/>
        <v>56471.007125000004</v>
      </c>
      <c r="F207" s="209">
        <f t="shared" si="20"/>
        <v>2859.2915000000003</v>
      </c>
      <c r="G207" s="209">
        <f t="shared" si="23"/>
        <v>53611.715625000004</v>
      </c>
      <c r="H207" s="209">
        <f t="shared" si="21"/>
        <v>110082.72275000002</v>
      </c>
      <c r="I207" s="89">
        <f t="shared" si="22"/>
        <v>2421.8199005</v>
      </c>
      <c r="J207" s="898"/>
    </row>
    <row r="208" spans="1:10" ht="51" hidden="1" outlineLevel="1">
      <c r="A208" s="1018" t="s">
        <v>1316</v>
      </c>
      <c r="B208" s="1017">
        <v>60602.5</v>
      </c>
      <c r="C208" s="107"/>
      <c r="D208" s="89">
        <f t="shared" si="24"/>
        <v>757.53125</v>
      </c>
      <c r="E208" s="209">
        <f t="shared" si="19"/>
        <v>59844.96875</v>
      </c>
      <c r="F208" s="209">
        <f t="shared" si="20"/>
        <v>3030.125</v>
      </c>
      <c r="G208" s="209">
        <f t="shared" si="23"/>
        <v>56814.84375</v>
      </c>
      <c r="H208" s="209">
        <f t="shared" si="21"/>
        <v>116659.8125</v>
      </c>
      <c r="I208" s="89">
        <f t="shared" si="22"/>
        <v>2566.515875</v>
      </c>
      <c r="J208" s="898"/>
    </row>
    <row r="209" spans="1:10" ht="51" hidden="1" outlineLevel="1">
      <c r="A209" s="1018" t="s">
        <v>1317</v>
      </c>
      <c r="B209" s="1017">
        <v>85269.17</v>
      </c>
      <c r="C209" s="107"/>
      <c r="D209" s="89">
        <f t="shared" si="24"/>
        <v>1065.864625</v>
      </c>
      <c r="E209" s="209">
        <f t="shared" si="19"/>
        <v>84203.305375</v>
      </c>
      <c r="F209" s="209">
        <f t="shared" si="20"/>
        <v>4263.4585</v>
      </c>
      <c r="G209" s="209">
        <f t="shared" si="23"/>
        <v>79939.846875</v>
      </c>
      <c r="H209" s="209">
        <f t="shared" si="21"/>
        <v>164143.15224999998</v>
      </c>
      <c r="I209" s="89">
        <f t="shared" si="22"/>
        <v>3611.1493494999995</v>
      </c>
      <c r="J209" s="898"/>
    </row>
    <row r="210" spans="1:10" ht="51" hidden="1" outlineLevel="1">
      <c r="A210" s="1018" t="s">
        <v>1318</v>
      </c>
      <c r="B210" s="1017">
        <v>85269.16</v>
      </c>
      <c r="C210" s="107"/>
      <c r="D210" s="89">
        <f t="shared" si="24"/>
        <v>1065.8645</v>
      </c>
      <c r="E210" s="209">
        <f t="shared" si="19"/>
        <v>84203.29550000001</v>
      </c>
      <c r="F210" s="209">
        <f>B210/240*12</f>
        <v>4263.458</v>
      </c>
      <c r="G210" s="209">
        <f t="shared" si="23"/>
        <v>79939.83750000001</v>
      </c>
      <c r="H210" s="209">
        <f t="shared" si="21"/>
        <v>164143.13300000003</v>
      </c>
      <c r="I210" s="89">
        <f t="shared" si="22"/>
        <v>3611.1489260000003</v>
      </c>
      <c r="J210" s="898"/>
    </row>
    <row r="211" spans="1:10" ht="38.25" hidden="1" outlineLevel="1">
      <c r="A211" s="1018" t="s">
        <v>1319</v>
      </c>
      <c r="B211" s="1021">
        <v>960000</v>
      </c>
      <c r="C211" s="107"/>
      <c r="D211" s="89">
        <f>B211/361*8</f>
        <v>21274.238227146816</v>
      </c>
      <c r="E211" s="209">
        <f t="shared" si="19"/>
        <v>938725.7617728532</v>
      </c>
      <c r="F211" s="209">
        <f>B211/361*12</f>
        <v>31911.357340720224</v>
      </c>
      <c r="G211" s="209">
        <f>E211-F211</f>
        <v>906814.404432133</v>
      </c>
      <c r="H211" s="209">
        <f>(E211+G211)</f>
        <v>1845540.1662049862</v>
      </c>
      <c r="I211" s="89">
        <f>H211*0.022</f>
        <v>40601.88365650969</v>
      </c>
      <c r="J211" s="898"/>
    </row>
    <row r="212" spans="1:12" s="5" customFormat="1" ht="12.75" collapsed="1">
      <c r="A212" s="4" t="s">
        <v>124</v>
      </c>
      <c r="B212" s="104">
        <f>SUM(B19:B211)</f>
        <v>30255410.310000006</v>
      </c>
      <c r="C212" s="104">
        <f aca="true" t="shared" si="25" ref="C212:I212">SUM(C19:C211)</f>
        <v>14657764.595990146</v>
      </c>
      <c r="D212" s="104">
        <f t="shared" si="25"/>
        <v>2274717.9470809884</v>
      </c>
      <c r="E212" s="104">
        <f t="shared" si="25"/>
        <v>14100319.148909166</v>
      </c>
      <c r="F212" s="104">
        <f t="shared" si="25"/>
        <v>2160534.888360539</v>
      </c>
      <c r="G212" s="104">
        <f t="shared" si="25"/>
        <v>11939784.26054862</v>
      </c>
      <c r="H212" s="104">
        <f t="shared" si="25"/>
        <v>14666361.152414702</v>
      </c>
      <c r="I212" s="104">
        <f t="shared" si="25"/>
        <v>70776.1390315097</v>
      </c>
      <c r="J212" s="898"/>
      <c r="L212" s="109"/>
    </row>
    <row r="213" spans="1:10" ht="12.75">
      <c r="A213" s="905" t="s">
        <v>97</v>
      </c>
      <c r="B213" s="104"/>
      <c r="C213" s="104"/>
      <c r="D213" s="104"/>
      <c r="E213" s="104"/>
      <c r="F213" s="104"/>
      <c r="G213" s="104"/>
      <c r="H213" s="104"/>
      <c r="I213" s="104"/>
      <c r="J213" s="898"/>
    </row>
    <row r="214" spans="1:10" ht="12.75" hidden="1" outlineLevel="1">
      <c r="A214" s="6" t="s">
        <v>42</v>
      </c>
      <c r="B214" s="105">
        <v>8820000</v>
      </c>
      <c r="C214" s="209">
        <v>3896205.51</v>
      </c>
      <c r="D214" s="209">
        <v>293185.56</v>
      </c>
      <c r="E214" s="209">
        <f>C214-D214</f>
        <v>3603019.9499999997</v>
      </c>
      <c r="F214" s="209">
        <f>IF(D214&lt;=E214,D214,E214)</f>
        <v>293185.56</v>
      </c>
      <c r="G214" s="209">
        <f>E214-F214</f>
        <v>3309834.3899999997</v>
      </c>
      <c r="H214" s="209">
        <f>(E214+G214)/2</f>
        <v>3456427.17</v>
      </c>
      <c r="I214" s="89">
        <f aca="true" t="shared" si="26" ref="I214:I229">H214*0.022</f>
        <v>76041.39774</v>
      </c>
      <c r="J214" s="898"/>
    </row>
    <row r="215" spans="1:10" ht="12.75" hidden="1" outlineLevel="1">
      <c r="A215" s="6" t="s">
        <v>46</v>
      </c>
      <c r="B215" s="105">
        <v>16920000</v>
      </c>
      <c r="C215" s="209">
        <v>7492934.5</v>
      </c>
      <c r="D215" s="209">
        <v>562437.72</v>
      </c>
      <c r="E215" s="209">
        <f aca="true" t="shared" si="27" ref="E215:E274">C215-D215</f>
        <v>6930496.78</v>
      </c>
      <c r="F215" s="209">
        <f aca="true" t="shared" si="28" ref="F215:F276">IF(D215&lt;=E215,D215,E215)</f>
        <v>562437.72</v>
      </c>
      <c r="G215" s="209">
        <f aca="true" t="shared" si="29" ref="G215:G276">E215-F215</f>
        <v>6368059.0600000005</v>
      </c>
      <c r="H215" s="209">
        <f aca="true" t="shared" si="30" ref="H215:H276">(E215+G215)/2</f>
        <v>6649277.92</v>
      </c>
      <c r="I215" s="89">
        <f t="shared" si="26"/>
        <v>146284.11424</v>
      </c>
      <c r="J215" s="898"/>
    </row>
    <row r="216" spans="1:10" ht="12.75" hidden="1" outlineLevel="1">
      <c r="A216" s="6" t="s">
        <v>53</v>
      </c>
      <c r="B216" s="105">
        <v>25240000</v>
      </c>
      <c r="C216" s="209">
        <v>10998758.52</v>
      </c>
      <c r="D216" s="209">
        <v>839002.7999999999</v>
      </c>
      <c r="E216" s="209">
        <f t="shared" si="27"/>
        <v>10159755.719999999</v>
      </c>
      <c r="F216" s="209">
        <f t="shared" si="28"/>
        <v>839002.7999999999</v>
      </c>
      <c r="G216" s="209">
        <f t="shared" si="29"/>
        <v>9320752.919999998</v>
      </c>
      <c r="H216" s="209">
        <f t="shared" si="30"/>
        <v>9740254.319999998</v>
      </c>
      <c r="I216" s="89">
        <f t="shared" si="26"/>
        <v>214285.59503999996</v>
      </c>
      <c r="J216" s="898"/>
    </row>
    <row r="217" spans="1:10" ht="25.5" hidden="1" outlineLevel="1">
      <c r="A217" s="6" t="s">
        <v>57</v>
      </c>
      <c r="B217" s="105">
        <v>14410000</v>
      </c>
      <c r="C217" s="209">
        <v>6404770.11</v>
      </c>
      <c r="D217" s="209">
        <v>479002.80000000005</v>
      </c>
      <c r="E217" s="209">
        <f t="shared" si="27"/>
        <v>5925767.3100000005</v>
      </c>
      <c r="F217" s="209">
        <f t="shared" si="28"/>
        <v>479002.80000000005</v>
      </c>
      <c r="G217" s="209">
        <f t="shared" si="29"/>
        <v>5446764.510000001</v>
      </c>
      <c r="H217" s="209">
        <f t="shared" si="30"/>
        <v>5686265.91</v>
      </c>
      <c r="I217" s="89">
        <f t="shared" si="26"/>
        <v>125097.85002</v>
      </c>
      <c r="J217" s="898"/>
    </row>
    <row r="218" spans="1:10" ht="12.75" hidden="1" outlineLevel="1">
      <c r="A218" s="6" t="s">
        <v>66</v>
      </c>
      <c r="B218" s="105">
        <v>3330000</v>
      </c>
      <c r="C218" s="209">
        <v>1521420.51</v>
      </c>
      <c r="D218" s="209">
        <v>110692.56</v>
      </c>
      <c r="E218" s="209">
        <f t="shared" si="27"/>
        <v>1410727.95</v>
      </c>
      <c r="F218" s="209">
        <f t="shared" si="28"/>
        <v>110692.56</v>
      </c>
      <c r="G218" s="209">
        <f t="shared" si="29"/>
        <v>1300035.39</v>
      </c>
      <c r="H218" s="209">
        <f t="shared" si="30"/>
        <v>1355381.67</v>
      </c>
      <c r="I218" s="89">
        <f t="shared" si="26"/>
        <v>29818.396739999996</v>
      </c>
      <c r="J218" s="898"/>
    </row>
    <row r="219" spans="1:10" ht="12.75" hidden="1" outlineLevel="1">
      <c r="A219" s="6" t="s">
        <v>67</v>
      </c>
      <c r="B219" s="105">
        <v>2550000</v>
      </c>
      <c r="C219" s="209">
        <v>1164533.35</v>
      </c>
      <c r="D219" s="209">
        <v>84764.52</v>
      </c>
      <c r="E219" s="209">
        <f t="shared" si="27"/>
        <v>1079768.83</v>
      </c>
      <c r="F219" s="209">
        <f t="shared" si="28"/>
        <v>84764.52</v>
      </c>
      <c r="G219" s="209">
        <f t="shared" si="29"/>
        <v>995004.31</v>
      </c>
      <c r="H219" s="209">
        <f t="shared" si="30"/>
        <v>1037386.5700000001</v>
      </c>
      <c r="I219" s="89">
        <f t="shared" si="26"/>
        <v>22822.50454</v>
      </c>
      <c r="J219" s="898"/>
    </row>
    <row r="220" spans="1:10" ht="12.75" hidden="1" outlineLevel="1">
      <c r="A220" s="6" t="s">
        <v>68</v>
      </c>
      <c r="B220" s="105">
        <v>3060000</v>
      </c>
      <c r="C220" s="209">
        <v>1398535.6</v>
      </c>
      <c r="D220" s="209">
        <v>101717.40000000001</v>
      </c>
      <c r="E220" s="209">
        <f t="shared" si="27"/>
        <v>1296818.2000000002</v>
      </c>
      <c r="F220" s="209">
        <f t="shared" si="28"/>
        <v>101717.40000000001</v>
      </c>
      <c r="G220" s="209">
        <f t="shared" si="29"/>
        <v>1195100.8000000003</v>
      </c>
      <c r="H220" s="209">
        <f t="shared" si="30"/>
        <v>1245959.5000000002</v>
      </c>
      <c r="I220" s="89">
        <f t="shared" si="26"/>
        <v>27411.109000000004</v>
      </c>
      <c r="J220" s="898"/>
    </row>
    <row r="221" spans="1:10" ht="12.75" hidden="1" outlineLevel="1">
      <c r="A221" s="6" t="s">
        <v>69</v>
      </c>
      <c r="B221" s="105">
        <v>2320000</v>
      </c>
      <c r="C221" s="209">
        <v>1059102.38</v>
      </c>
      <c r="D221" s="209">
        <v>77119.08</v>
      </c>
      <c r="E221" s="209">
        <f t="shared" si="27"/>
        <v>981983.2999999999</v>
      </c>
      <c r="F221" s="209">
        <f t="shared" si="28"/>
        <v>77119.08</v>
      </c>
      <c r="G221" s="209">
        <f t="shared" si="29"/>
        <v>904864.22</v>
      </c>
      <c r="H221" s="209">
        <f t="shared" si="30"/>
        <v>943423.76</v>
      </c>
      <c r="I221" s="89">
        <f t="shared" si="26"/>
        <v>20755.32272</v>
      </c>
      <c r="J221" s="898"/>
    </row>
    <row r="222" spans="1:10" ht="12.75" hidden="1" outlineLevel="1">
      <c r="A222" s="6" t="s">
        <v>70</v>
      </c>
      <c r="B222" s="105">
        <v>3670000</v>
      </c>
      <c r="C222" s="209">
        <v>1675968.75</v>
      </c>
      <c r="D222" s="209">
        <v>121994.40000000001</v>
      </c>
      <c r="E222" s="209">
        <f t="shared" si="27"/>
        <v>1553974.35</v>
      </c>
      <c r="F222" s="209">
        <f t="shared" si="28"/>
        <v>121994.40000000001</v>
      </c>
      <c r="G222" s="209">
        <f t="shared" si="29"/>
        <v>1431979.9500000002</v>
      </c>
      <c r="H222" s="209">
        <f t="shared" si="30"/>
        <v>1492977.1500000001</v>
      </c>
      <c r="I222" s="89">
        <f t="shared" si="26"/>
        <v>32845.4973</v>
      </c>
      <c r="J222" s="898"/>
    </row>
    <row r="223" spans="1:10" ht="12.75" hidden="1" outlineLevel="1">
      <c r="A223" s="6" t="s">
        <v>71</v>
      </c>
      <c r="B223" s="105">
        <v>2240000</v>
      </c>
      <c r="C223" s="209">
        <v>1023530.47</v>
      </c>
      <c r="D223" s="209">
        <v>74459.88</v>
      </c>
      <c r="E223" s="209">
        <f t="shared" si="27"/>
        <v>949070.59</v>
      </c>
      <c r="F223" s="209">
        <f t="shared" si="28"/>
        <v>74459.88</v>
      </c>
      <c r="G223" s="209">
        <f t="shared" si="29"/>
        <v>874610.71</v>
      </c>
      <c r="H223" s="209">
        <f t="shared" si="30"/>
        <v>911840.6499999999</v>
      </c>
      <c r="I223" s="89">
        <f t="shared" si="26"/>
        <v>20060.4943</v>
      </c>
      <c r="J223" s="898"/>
    </row>
    <row r="224" spans="1:10" ht="12.75" hidden="1" outlineLevel="1">
      <c r="A224" s="6" t="s">
        <v>72</v>
      </c>
      <c r="B224" s="105">
        <v>4470000</v>
      </c>
      <c r="C224" s="209">
        <v>2041916.17</v>
      </c>
      <c r="D224" s="209">
        <v>148587.24</v>
      </c>
      <c r="E224" s="209">
        <f t="shared" si="27"/>
        <v>1893328.93</v>
      </c>
      <c r="F224" s="209">
        <f t="shared" si="28"/>
        <v>148587.24</v>
      </c>
      <c r="G224" s="209">
        <f t="shared" si="29"/>
        <v>1744741.69</v>
      </c>
      <c r="H224" s="209">
        <f t="shared" si="30"/>
        <v>1819035.31</v>
      </c>
      <c r="I224" s="89">
        <f t="shared" si="26"/>
        <v>40018.77682</v>
      </c>
      <c r="J224" s="898"/>
    </row>
    <row r="225" spans="1:10" ht="12.75" hidden="1" outlineLevel="1">
      <c r="A225" s="6" t="s">
        <v>73</v>
      </c>
      <c r="B225" s="105">
        <v>2430000</v>
      </c>
      <c r="C225" s="209">
        <v>1110183.84</v>
      </c>
      <c r="D225" s="209">
        <v>80775.6</v>
      </c>
      <c r="E225" s="209">
        <f t="shared" si="27"/>
        <v>1029408.2400000001</v>
      </c>
      <c r="F225" s="209">
        <f t="shared" si="28"/>
        <v>80775.6</v>
      </c>
      <c r="G225" s="209">
        <f t="shared" si="29"/>
        <v>948632.6400000001</v>
      </c>
      <c r="H225" s="209">
        <f t="shared" si="30"/>
        <v>989020.4400000002</v>
      </c>
      <c r="I225" s="89">
        <f t="shared" si="26"/>
        <v>21758.44968</v>
      </c>
      <c r="J225" s="898"/>
    </row>
    <row r="226" spans="1:10" ht="25.5" hidden="1" outlineLevel="1">
      <c r="A226" s="6" t="s">
        <v>74</v>
      </c>
      <c r="B226" s="105">
        <v>15980000</v>
      </c>
      <c r="C226" s="209">
        <v>7432037.03</v>
      </c>
      <c r="D226" s="209">
        <v>531191.16</v>
      </c>
      <c r="E226" s="209">
        <f t="shared" si="27"/>
        <v>6900845.87</v>
      </c>
      <c r="F226" s="209">
        <f t="shared" si="28"/>
        <v>531191.16</v>
      </c>
      <c r="G226" s="209">
        <f t="shared" si="29"/>
        <v>6369654.71</v>
      </c>
      <c r="H226" s="209">
        <f t="shared" si="30"/>
        <v>6635250.29</v>
      </c>
      <c r="I226" s="89">
        <f t="shared" si="26"/>
        <v>145975.50638</v>
      </c>
      <c r="J226" s="898"/>
    </row>
    <row r="227" spans="1:10" ht="38.25" hidden="1" outlineLevel="1">
      <c r="A227" s="6" t="s">
        <v>90</v>
      </c>
      <c r="B227" s="105">
        <v>9910000</v>
      </c>
      <c r="C227" s="209">
        <v>4772841.79</v>
      </c>
      <c r="D227" s="209">
        <v>329418.24</v>
      </c>
      <c r="E227" s="209">
        <f t="shared" si="27"/>
        <v>4443423.55</v>
      </c>
      <c r="F227" s="209">
        <f t="shared" si="28"/>
        <v>329418.24</v>
      </c>
      <c r="G227" s="209">
        <f t="shared" si="29"/>
        <v>4114005.3099999996</v>
      </c>
      <c r="H227" s="209">
        <f t="shared" si="30"/>
        <v>4278714.43</v>
      </c>
      <c r="I227" s="89">
        <f t="shared" si="26"/>
        <v>94131.71745999999</v>
      </c>
      <c r="J227" s="898"/>
    </row>
    <row r="228" spans="1:10" ht="24" hidden="1" outlineLevel="1">
      <c r="A228" s="906" t="s">
        <v>1229</v>
      </c>
      <c r="B228" s="105">
        <v>1600000</v>
      </c>
      <c r="C228" s="209">
        <v>1537950.15</v>
      </c>
      <c r="D228" s="209">
        <v>53185.56</v>
      </c>
      <c r="E228" s="209">
        <f>C228-D228</f>
        <v>1484764.5899999999</v>
      </c>
      <c r="F228" s="209">
        <f>IF(D228&lt;=E228,D228,E228)</f>
        <v>53185.56</v>
      </c>
      <c r="G228" s="209">
        <f>E228-F228</f>
        <v>1431579.0299999998</v>
      </c>
      <c r="H228" s="209">
        <f>(E228+G228)/2</f>
        <v>1458171.8099999998</v>
      </c>
      <c r="I228" s="89">
        <f t="shared" si="26"/>
        <v>32079.779819999992</v>
      </c>
      <c r="J228" s="898"/>
    </row>
    <row r="229" spans="1:12" s="65" customFormat="1" ht="25.5" hidden="1" outlineLevel="1">
      <c r="A229" s="214" t="s">
        <v>75</v>
      </c>
      <c r="B229" s="216">
        <v>6728640.79</v>
      </c>
      <c r="C229" s="894">
        <v>4269566.13</v>
      </c>
      <c r="D229" s="894">
        <v>308706.96</v>
      </c>
      <c r="E229" s="209">
        <f t="shared" si="27"/>
        <v>3960859.17</v>
      </c>
      <c r="F229" s="209">
        <f t="shared" si="28"/>
        <v>308706.96</v>
      </c>
      <c r="G229" s="209">
        <f t="shared" si="29"/>
        <v>3652152.21</v>
      </c>
      <c r="H229" s="209">
        <f t="shared" si="30"/>
        <v>3806505.69</v>
      </c>
      <c r="I229" s="89">
        <f t="shared" si="26"/>
        <v>83743.12517999999</v>
      </c>
      <c r="J229" s="898"/>
      <c r="L229" s="217"/>
    </row>
    <row r="230" spans="1:10" ht="12.75" hidden="1" outlineLevel="1">
      <c r="A230" s="6" t="s">
        <v>86</v>
      </c>
      <c r="B230" s="105">
        <v>147457.63</v>
      </c>
      <c r="C230" s="209">
        <v>59472.08060773481</v>
      </c>
      <c r="D230" s="209">
        <v>9776.196464088398</v>
      </c>
      <c r="E230" s="209">
        <f t="shared" si="27"/>
        <v>49695.88414364641</v>
      </c>
      <c r="F230" s="209">
        <f t="shared" si="28"/>
        <v>9776.196464088398</v>
      </c>
      <c r="G230" s="209">
        <f t="shared" si="29"/>
        <v>39919.68767955802</v>
      </c>
      <c r="H230" s="209">
        <f t="shared" si="30"/>
        <v>44807.785911602215</v>
      </c>
      <c r="I230" s="89"/>
      <c r="J230" s="898"/>
    </row>
    <row r="231" spans="1:10" ht="12.75" hidden="1" outlineLevel="1">
      <c r="A231" s="6" t="s">
        <v>86</v>
      </c>
      <c r="B231" s="105">
        <v>147457.63</v>
      </c>
      <c r="C231" s="209">
        <v>59472.08060773481</v>
      </c>
      <c r="D231" s="209">
        <v>9776.196464088398</v>
      </c>
      <c r="E231" s="209">
        <f t="shared" si="27"/>
        <v>49695.88414364641</v>
      </c>
      <c r="F231" s="209">
        <f t="shared" si="28"/>
        <v>9776.196464088398</v>
      </c>
      <c r="G231" s="209">
        <f t="shared" si="29"/>
        <v>39919.68767955802</v>
      </c>
      <c r="H231" s="209">
        <f t="shared" si="30"/>
        <v>44807.785911602215</v>
      </c>
      <c r="I231" s="89"/>
      <c r="J231" s="898"/>
    </row>
    <row r="232" spans="1:10" ht="12.75" hidden="1" outlineLevel="1">
      <c r="A232" s="6" t="s">
        <v>86</v>
      </c>
      <c r="B232" s="105">
        <v>147457.63</v>
      </c>
      <c r="C232" s="209">
        <v>59472.08060773481</v>
      </c>
      <c r="D232" s="209">
        <v>9776.196464088398</v>
      </c>
      <c r="E232" s="209">
        <f t="shared" si="27"/>
        <v>49695.88414364641</v>
      </c>
      <c r="F232" s="209">
        <f t="shared" si="28"/>
        <v>9776.196464088398</v>
      </c>
      <c r="G232" s="209">
        <f t="shared" si="29"/>
        <v>39919.68767955802</v>
      </c>
      <c r="H232" s="209">
        <f t="shared" si="30"/>
        <v>44807.785911602215</v>
      </c>
      <c r="I232" s="89"/>
      <c r="J232" s="898"/>
    </row>
    <row r="233" spans="1:10" ht="12.75" hidden="1" outlineLevel="1">
      <c r="A233" s="6" t="s">
        <v>86</v>
      </c>
      <c r="B233" s="105">
        <v>147457.63</v>
      </c>
      <c r="C233" s="209">
        <v>59472.08060773481</v>
      </c>
      <c r="D233" s="209">
        <v>9776.196464088398</v>
      </c>
      <c r="E233" s="209">
        <f t="shared" si="27"/>
        <v>49695.88414364641</v>
      </c>
      <c r="F233" s="209">
        <f t="shared" si="28"/>
        <v>9776.196464088398</v>
      </c>
      <c r="G233" s="209">
        <f t="shared" si="29"/>
        <v>39919.68767955802</v>
      </c>
      <c r="H233" s="209">
        <f t="shared" si="30"/>
        <v>44807.785911602215</v>
      </c>
      <c r="I233" s="89"/>
      <c r="J233" s="898"/>
    </row>
    <row r="234" spans="1:10" ht="25.5" hidden="1" outlineLevel="1">
      <c r="A234" s="6" t="s">
        <v>79</v>
      </c>
      <c r="B234" s="105">
        <v>51827.75</v>
      </c>
      <c r="C234" s="209">
        <v>2998.1835537190073</v>
      </c>
      <c r="D234" s="209">
        <v>2998.1835537190073</v>
      </c>
      <c r="E234" s="209">
        <f t="shared" si="27"/>
        <v>0</v>
      </c>
      <c r="F234" s="209">
        <f t="shared" si="28"/>
        <v>0</v>
      </c>
      <c r="G234" s="209">
        <f t="shared" si="29"/>
        <v>0</v>
      </c>
      <c r="H234" s="209">
        <f t="shared" si="30"/>
        <v>0</v>
      </c>
      <c r="I234" s="89"/>
      <c r="J234" s="898"/>
    </row>
    <row r="235" spans="1:10" ht="25.5" hidden="1" outlineLevel="1">
      <c r="A235" s="6" t="s">
        <v>79</v>
      </c>
      <c r="B235" s="105">
        <v>51827.75</v>
      </c>
      <c r="C235" s="209">
        <v>2998.1835537190073</v>
      </c>
      <c r="D235" s="209">
        <v>2998.1835537190073</v>
      </c>
      <c r="E235" s="209">
        <f t="shared" si="27"/>
        <v>0</v>
      </c>
      <c r="F235" s="209">
        <f t="shared" si="28"/>
        <v>0</v>
      </c>
      <c r="G235" s="209">
        <f t="shared" si="29"/>
        <v>0</v>
      </c>
      <c r="H235" s="209">
        <f t="shared" si="30"/>
        <v>0</v>
      </c>
      <c r="I235" s="89"/>
      <c r="J235" s="898"/>
    </row>
    <row r="236" spans="1:10" ht="25.5" hidden="1" outlineLevel="1">
      <c r="A236" s="6" t="s">
        <v>79</v>
      </c>
      <c r="B236" s="105">
        <v>51827.75</v>
      </c>
      <c r="C236" s="209">
        <v>2998.1835537190073</v>
      </c>
      <c r="D236" s="209">
        <v>2998.1835537190073</v>
      </c>
      <c r="E236" s="209">
        <f t="shared" si="27"/>
        <v>0</v>
      </c>
      <c r="F236" s="209">
        <f t="shared" si="28"/>
        <v>0</v>
      </c>
      <c r="G236" s="209">
        <f t="shared" si="29"/>
        <v>0</v>
      </c>
      <c r="H236" s="209">
        <f t="shared" si="30"/>
        <v>0</v>
      </c>
      <c r="I236" s="89"/>
      <c r="J236" s="898"/>
    </row>
    <row r="237" spans="1:10" ht="25.5" hidden="1" outlineLevel="1">
      <c r="A237" s="6" t="s">
        <v>79</v>
      </c>
      <c r="B237" s="105">
        <v>51827.75</v>
      </c>
      <c r="C237" s="209">
        <v>2998.1835537190073</v>
      </c>
      <c r="D237" s="209">
        <v>2998.1835537190073</v>
      </c>
      <c r="E237" s="209">
        <f t="shared" si="27"/>
        <v>0</v>
      </c>
      <c r="F237" s="209">
        <f t="shared" si="28"/>
        <v>0</v>
      </c>
      <c r="G237" s="209">
        <f t="shared" si="29"/>
        <v>0</v>
      </c>
      <c r="H237" s="209">
        <f t="shared" si="30"/>
        <v>0</v>
      </c>
      <c r="I237" s="89"/>
      <c r="J237" s="898"/>
    </row>
    <row r="238" spans="1:10" ht="25.5" hidden="1" outlineLevel="1">
      <c r="A238" s="6" t="s">
        <v>79</v>
      </c>
      <c r="B238" s="105">
        <v>51827.75</v>
      </c>
      <c r="C238" s="209">
        <v>2998.1835537190073</v>
      </c>
      <c r="D238" s="209">
        <v>2998.1835537190073</v>
      </c>
      <c r="E238" s="209">
        <f t="shared" si="27"/>
        <v>0</v>
      </c>
      <c r="F238" s="209">
        <f t="shared" si="28"/>
        <v>0</v>
      </c>
      <c r="G238" s="209">
        <f t="shared" si="29"/>
        <v>0</v>
      </c>
      <c r="H238" s="209">
        <f t="shared" si="30"/>
        <v>0</v>
      </c>
      <c r="I238" s="89"/>
      <c r="J238" s="898"/>
    </row>
    <row r="239" spans="1:10" ht="25.5" hidden="1" outlineLevel="1">
      <c r="A239" s="6" t="s">
        <v>79</v>
      </c>
      <c r="B239" s="105">
        <v>51827.75</v>
      </c>
      <c r="C239" s="209">
        <v>2998.1835537190073</v>
      </c>
      <c r="D239" s="209">
        <v>2998.1835537190073</v>
      </c>
      <c r="E239" s="209">
        <f t="shared" si="27"/>
        <v>0</v>
      </c>
      <c r="F239" s="209">
        <f t="shared" si="28"/>
        <v>0</v>
      </c>
      <c r="G239" s="209">
        <f t="shared" si="29"/>
        <v>0</v>
      </c>
      <c r="H239" s="209">
        <f t="shared" si="30"/>
        <v>0</v>
      </c>
      <c r="I239" s="89"/>
      <c r="J239" s="898"/>
    </row>
    <row r="240" spans="1:10" ht="12.75" customHeight="1" hidden="1" outlineLevel="1">
      <c r="A240" s="893" t="s">
        <v>1177</v>
      </c>
      <c r="B240" s="894">
        <v>53690.72</v>
      </c>
      <c r="C240" s="894">
        <v>47203.13</v>
      </c>
      <c r="D240" s="894">
        <v>2684.52</v>
      </c>
      <c r="E240" s="209">
        <f t="shared" si="27"/>
        <v>44518.61</v>
      </c>
      <c r="F240" s="209"/>
      <c r="G240" s="209"/>
      <c r="H240" s="209"/>
      <c r="I240" s="89"/>
      <c r="J240" s="898"/>
    </row>
    <row r="241" spans="1:10" ht="12.75" customHeight="1" hidden="1" outlineLevel="1">
      <c r="A241" s="893" t="s">
        <v>1178</v>
      </c>
      <c r="B241" s="894">
        <v>53690.72</v>
      </c>
      <c r="C241" s="894">
        <v>47203.13</v>
      </c>
      <c r="D241" s="894">
        <v>2684.52</v>
      </c>
      <c r="E241" s="209">
        <f t="shared" si="27"/>
        <v>44518.61</v>
      </c>
      <c r="F241" s="209"/>
      <c r="G241" s="209"/>
      <c r="H241" s="209"/>
      <c r="I241" s="89"/>
      <c r="J241" s="898"/>
    </row>
    <row r="242" spans="1:10" ht="12.75" hidden="1" outlineLevel="1">
      <c r="A242" s="6" t="s">
        <v>161</v>
      </c>
      <c r="B242" s="105">
        <v>156135.6</v>
      </c>
      <c r="C242" s="209">
        <v>19355.433057851238</v>
      </c>
      <c r="D242" s="209">
        <v>15484.522314049587</v>
      </c>
      <c r="E242" s="209">
        <f t="shared" si="27"/>
        <v>3870.910743801651</v>
      </c>
      <c r="F242" s="209">
        <f t="shared" si="28"/>
        <v>3870.910743801651</v>
      </c>
      <c r="G242" s="209">
        <f t="shared" si="29"/>
        <v>0</v>
      </c>
      <c r="H242" s="209">
        <f t="shared" si="30"/>
        <v>1935.4553719008254</v>
      </c>
      <c r="I242" s="89"/>
      <c r="J242" s="898"/>
    </row>
    <row r="243" spans="1:10" ht="12.75" hidden="1" outlineLevel="1">
      <c r="A243" s="6" t="s">
        <v>162</v>
      </c>
      <c r="B243" s="105">
        <v>156135.6</v>
      </c>
      <c r="C243" s="209">
        <v>19355.423057851243</v>
      </c>
      <c r="D243" s="209">
        <v>15484.522314049587</v>
      </c>
      <c r="E243" s="209">
        <f t="shared" si="27"/>
        <v>3870.900743801656</v>
      </c>
      <c r="F243" s="209">
        <f t="shared" si="28"/>
        <v>3870.900743801656</v>
      </c>
      <c r="G243" s="209">
        <f t="shared" si="29"/>
        <v>0</v>
      </c>
      <c r="H243" s="209">
        <f t="shared" si="30"/>
        <v>1935.450371900828</v>
      </c>
      <c r="I243" s="89"/>
      <c r="J243" s="898"/>
    </row>
    <row r="244" spans="1:10" ht="25.5" hidden="1" outlineLevel="1">
      <c r="A244" s="6" t="s">
        <v>91</v>
      </c>
      <c r="B244" s="105">
        <v>76946</v>
      </c>
      <c r="C244" s="209">
        <v>11199.68</v>
      </c>
      <c r="D244" s="209">
        <v>3831.3599999999997</v>
      </c>
      <c r="E244" s="209">
        <f t="shared" si="27"/>
        <v>7368.320000000001</v>
      </c>
      <c r="F244" s="209">
        <f t="shared" si="28"/>
        <v>3831.3599999999997</v>
      </c>
      <c r="G244" s="209">
        <f t="shared" si="29"/>
        <v>3536.960000000001</v>
      </c>
      <c r="H244" s="209">
        <f t="shared" si="30"/>
        <v>5452.640000000001</v>
      </c>
      <c r="I244" s="89"/>
      <c r="J244" s="898"/>
    </row>
    <row r="245" spans="1:10" ht="25.5" hidden="1" outlineLevel="1">
      <c r="A245" s="6" t="s">
        <v>92</v>
      </c>
      <c r="B245" s="105">
        <v>317173</v>
      </c>
      <c r="C245" s="209">
        <v>46166.33</v>
      </c>
      <c r="D245" s="209">
        <v>15792.84</v>
      </c>
      <c r="E245" s="209">
        <f t="shared" si="27"/>
        <v>30373.49</v>
      </c>
      <c r="F245" s="209">
        <f t="shared" si="28"/>
        <v>15792.84</v>
      </c>
      <c r="G245" s="209">
        <f t="shared" si="29"/>
        <v>14580.650000000001</v>
      </c>
      <c r="H245" s="209">
        <f t="shared" si="30"/>
        <v>22477.07</v>
      </c>
      <c r="I245" s="89"/>
      <c r="J245" s="898"/>
    </row>
    <row r="246" spans="1:10" ht="12.75" hidden="1" outlineLevel="1">
      <c r="A246" s="6" t="s">
        <v>93</v>
      </c>
      <c r="B246" s="105">
        <v>194508</v>
      </c>
      <c r="C246" s="209">
        <v>28311.51</v>
      </c>
      <c r="D246" s="209">
        <v>9685.08</v>
      </c>
      <c r="E246" s="209">
        <f t="shared" si="27"/>
        <v>18626.43</v>
      </c>
      <c r="F246" s="209">
        <f t="shared" si="28"/>
        <v>9685.08</v>
      </c>
      <c r="G246" s="209">
        <f t="shared" si="29"/>
        <v>8941.35</v>
      </c>
      <c r="H246" s="209">
        <f t="shared" si="30"/>
        <v>13783.89</v>
      </c>
      <c r="I246" s="89"/>
      <c r="J246" s="898"/>
    </row>
    <row r="247" spans="1:10" ht="12.75" hidden="1" outlineLevel="1">
      <c r="A247" s="6" t="s">
        <v>94</v>
      </c>
      <c r="B247" s="105">
        <v>74987</v>
      </c>
      <c r="C247" s="209">
        <v>10914.05</v>
      </c>
      <c r="D247" s="209">
        <v>3733.7999999999997</v>
      </c>
      <c r="E247" s="209">
        <f t="shared" si="27"/>
        <v>7180.25</v>
      </c>
      <c r="F247" s="209">
        <f t="shared" si="28"/>
        <v>3733.7999999999997</v>
      </c>
      <c r="G247" s="209">
        <f t="shared" si="29"/>
        <v>3446.4500000000003</v>
      </c>
      <c r="H247" s="209">
        <f t="shared" si="30"/>
        <v>5313.35</v>
      </c>
      <c r="I247" s="89"/>
      <c r="J247" s="898"/>
    </row>
    <row r="248" spans="1:10" ht="25.5" hidden="1" outlineLevel="1">
      <c r="A248" s="6" t="s">
        <v>95</v>
      </c>
      <c r="B248" s="105">
        <v>370806</v>
      </c>
      <c r="C248" s="209">
        <v>53972.07</v>
      </c>
      <c r="D248" s="209">
        <v>18463.32</v>
      </c>
      <c r="E248" s="209">
        <f t="shared" si="27"/>
        <v>35508.75</v>
      </c>
      <c r="F248" s="209">
        <f t="shared" si="28"/>
        <v>18463.32</v>
      </c>
      <c r="G248" s="209">
        <f t="shared" si="29"/>
        <v>17045.43</v>
      </c>
      <c r="H248" s="209">
        <f t="shared" si="30"/>
        <v>26277.09</v>
      </c>
      <c r="I248" s="89"/>
      <c r="J248" s="898"/>
    </row>
    <row r="249" spans="1:10" ht="25.5" hidden="1" outlineLevel="1">
      <c r="A249" s="6" t="s">
        <v>96</v>
      </c>
      <c r="B249" s="105">
        <v>10555358.48</v>
      </c>
      <c r="C249" s="209">
        <v>1457922.0799999998</v>
      </c>
      <c r="D249" s="209">
        <v>699802.8</v>
      </c>
      <c r="E249" s="209">
        <f t="shared" si="27"/>
        <v>758119.2799999998</v>
      </c>
      <c r="F249" s="209">
        <f t="shared" si="28"/>
        <v>699802.8</v>
      </c>
      <c r="G249" s="209">
        <f t="shared" si="29"/>
        <v>58316.47999999975</v>
      </c>
      <c r="H249" s="209">
        <f t="shared" si="30"/>
        <v>408217.8799999998</v>
      </c>
      <c r="I249" s="89"/>
      <c r="J249" s="898"/>
    </row>
    <row r="250" spans="1:10" ht="12.75" hidden="1" outlineLevel="1">
      <c r="A250" s="6" t="s">
        <v>86</v>
      </c>
      <c r="B250" s="105">
        <v>156000</v>
      </c>
      <c r="C250" s="209">
        <v>27074.136859504142</v>
      </c>
      <c r="D250" s="209">
        <v>15471.074380165288</v>
      </c>
      <c r="E250" s="209">
        <f t="shared" si="27"/>
        <v>11603.062479338854</v>
      </c>
      <c r="F250" s="209">
        <f t="shared" si="28"/>
        <v>11603.062479338854</v>
      </c>
      <c r="G250" s="209">
        <f t="shared" si="29"/>
        <v>0</v>
      </c>
      <c r="H250" s="209">
        <f t="shared" si="30"/>
        <v>5801.531239669427</v>
      </c>
      <c r="I250" s="89"/>
      <c r="J250" s="898"/>
    </row>
    <row r="251" spans="1:10" ht="12.75" hidden="1" outlineLevel="1">
      <c r="A251" s="6" t="s">
        <v>87</v>
      </c>
      <c r="B251" s="105">
        <v>156000</v>
      </c>
      <c r="C251" s="209">
        <v>27074.136859504142</v>
      </c>
      <c r="D251" s="209">
        <v>15471.074380165288</v>
      </c>
      <c r="E251" s="209">
        <f t="shared" si="27"/>
        <v>11603.062479338854</v>
      </c>
      <c r="F251" s="209">
        <f t="shared" si="28"/>
        <v>11603.062479338854</v>
      </c>
      <c r="G251" s="209">
        <f t="shared" si="29"/>
        <v>0</v>
      </c>
      <c r="H251" s="209">
        <f t="shared" si="30"/>
        <v>5801.531239669427</v>
      </c>
      <c r="I251" s="89"/>
      <c r="J251" s="898"/>
    </row>
    <row r="252" spans="1:10" ht="12.75" hidden="1" outlineLevel="1">
      <c r="A252" s="6" t="s">
        <v>88</v>
      </c>
      <c r="B252" s="105">
        <v>156000</v>
      </c>
      <c r="C252" s="209">
        <v>27074.136859504142</v>
      </c>
      <c r="D252" s="209">
        <v>15471.074380165288</v>
      </c>
      <c r="E252" s="209">
        <f t="shared" si="27"/>
        <v>11603.062479338854</v>
      </c>
      <c r="F252" s="209">
        <f t="shared" si="28"/>
        <v>11603.062479338854</v>
      </c>
      <c r="G252" s="209">
        <f t="shared" si="29"/>
        <v>0</v>
      </c>
      <c r="H252" s="209">
        <f t="shared" si="30"/>
        <v>5801.531239669427</v>
      </c>
      <c r="I252" s="89"/>
      <c r="J252" s="898"/>
    </row>
    <row r="253" spans="1:10" ht="12.75" hidden="1" outlineLevel="1">
      <c r="A253" s="6" t="s">
        <v>89</v>
      </c>
      <c r="B253" s="105">
        <v>156000</v>
      </c>
      <c r="C253" s="209">
        <v>27074.136859504142</v>
      </c>
      <c r="D253" s="209">
        <v>15471.074380165288</v>
      </c>
      <c r="E253" s="209">
        <f t="shared" si="27"/>
        <v>11603.062479338854</v>
      </c>
      <c r="F253" s="209">
        <f t="shared" si="28"/>
        <v>11603.062479338854</v>
      </c>
      <c r="G253" s="209">
        <f t="shared" si="29"/>
        <v>0</v>
      </c>
      <c r="H253" s="209">
        <f t="shared" si="30"/>
        <v>5801.531239669427</v>
      </c>
      <c r="I253" s="89"/>
      <c r="J253" s="898"/>
    </row>
    <row r="254" spans="1:10" ht="12.75" hidden="1" outlineLevel="1">
      <c r="A254" s="6" t="s">
        <v>163</v>
      </c>
      <c r="B254" s="105">
        <v>156000</v>
      </c>
      <c r="C254" s="209">
        <v>72397.64000000001</v>
      </c>
      <c r="D254" s="209">
        <v>10342.56</v>
      </c>
      <c r="E254" s="209">
        <f t="shared" si="27"/>
        <v>62055.080000000016</v>
      </c>
      <c r="F254" s="209">
        <f t="shared" si="28"/>
        <v>10342.56</v>
      </c>
      <c r="G254" s="209">
        <f t="shared" si="29"/>
        <v>51712.52000000002</v>
      </c>
      <c r="H254" s="209">
        <f t="shared" si="30"/>
        <v>56883.80000000002</v>
      </c>
      <c r="I254" s="89"/>
      <c r="J254" s="898"/>
    </row>
    <row r="255" spans="1:10" ht="12.75" hidden="1" outlineLevel="1">
      <c r="A255" s="6" t="s">
        <v>164</v>
      </c>
      <c r="B255" s="105">
        <v>156000</v>
      </c>
      <c r="C255" s="209">
        <v>72397.64000000001</v>
      </c>
      <c r="D255" s="209">
        <v>10342.56</v>
      </c>
      <c r="E255" s="209">
        <f t="shared" si="27"/>
        <v>62055.080000000016</v>
      </c>
      <c r="F255" s="209">
        <f t="shared" si="28"/>
        <v>10342.56</v>
      </c>
      <c r="G255" s="209">
        <f t="shared" si="29"/>
        <v>51712.52000000002</v>
      </c>
      <c r="H255" s="209">
        <f t="shared" si="30"/>
        <v>56883.80000000002</v>
      </c>
      <c r="I255" s="89"/>
      <c r="J255" s="898"/>
    </row>
    <row r="256" spans="1:10" ht="12.75" hidden="1" outlineLevel="1">
      <c r="A256" s="6" t="s">
        <v>163</v>
      </c>
      <c r="B256" s="105">
        <v>160169.49</v>
      </c>
      <c r="C256" s="209">
        <v>68138.40182320442</v>
      </c>
      <c r="D256" s="209">
        <v>10618.971712707182</v>
      </c>
      <c r="E256" s="209">
        <f t="shared" si="27"/>
        <v>57519.43011049724</v>
      </c>
      <c r="F256" s="209">
        <f t="shared" si="28"/>
        <v>10618.971712707182</v>
      </c>
      <c r="G256" s="209">
        <f t="shared" si="29"/>
        <v>46900.45839779006</v>
      </c>
      <c r="H256" s="209">
        <f t="shared" si="30"/>
        <v>52209.94425414365</v>
      </c>
      <c r="I256" s="89"/>
      <c r="J256" s="898"/>
    </row>
    <row r="257" spans="1:10" ht="12.75" hidden="1" outlineLevel="1">
      <c r="A257" s="6" t="s">
        <v>164</v>
      </c>
      <c r="B257" s="105">
        <v>160169.49</v>
      </c>
      <c r="C257" s="209">
        <v>68138.40182320442</v>
      </c>
      <c r="D257" s="209">
        <v>10618.971712707182</v>
      </c>
      <c r="E257" s="209">
        <f t="shared" si="27"/>
        <v>57519.43011049724</v>
      </c>
      <c r="F257" s="209">
        <f t="shared" si="28"/>
        <v>10618.971712707182</v>
      </c>
      <c r="G257" s="209">
        <f t="shared" si="29"/>
        <v>46900.45839779006</v>
      </c>
      <c r="H257" s="209">
        <f t="shared" si="30"/>
        <v>52209.94425414365</v>
      </c>
      <c r="I257" s="89"/>
      <c r="J257" s="898"/>
    </row>
    <row r="258" spans="1:10" ht="12.75" hidden="1" outlineLevel="1">
      <c r="A258" s="6" t="s">
        <v>165</v>
      </c>
      <c r="B258" s="105">
        <v>160169.49</v>
      </c>
      <c r="C258" s="209">
        <v>68138.40182320442</v>
      </c>
      <c r="D258" s="209">
        <v>10618.971712707182</v>
      </c>
      <c r="E258" s="209">
        <f t="shared" si="27"/>
        <v>57519.43011049724</v>
      </c>
      <c r="F258" s="209">
        <f t="shared" si="28"/>
        <v>10618.971712707182</v>
      </c>
      <c r="G258" s="209">
        <f t="shared" si="29"/>
        <v>46900.45839779006</v>
      </c>
      <c r="H258" s="209">
        <f t="shared" si="30"/>
        <v>52209.94425414365</v>
      </c>
      <c r="I258" s="89"/>
      <c r="J258" s="898"/>
    </row>
    <row r="259" spans="1:10" ht="12.75" hidden="1" outlineLevel="1">
      <c r="A259" s="6" t="s">
        <v>166</v>
      </c>
      <c r="B259" s="105">
        <v>160169.49</v>
      </c>
      <c r="C259" s="209">
        <v>68138.40182320442</v>
      </c>
      <c r="D259" s="209">
        <v>10618.971712707182</v>
      </c>
      <c r="E259" s="209">
        <f t="shared" si="27"/>
        <v>57519.43011049724</v>
      </c>
      <c r="F259" s="209">
        <f t="shared" si="28"/>
        <v>10618.971712707182</v>
      </c>
      <c r="G259" s="209">
        <f t="shared" si="29"/>
        <v>46900.45839779006</v>
      </c>
      <c r="H259" s="209">
        <f t="shared" si="30"/>
        <v>52209.94425414365</v>
      </c>
      <c r="I259" s="89"/>
      <c r="J259" s="898"/>
    </row>
    <row r="260" spans="1:10" ht="25.5" hidden="1" outlineLevel="1">
      <c r="A260" s="6" t="s">
        <v>186</v>
      </c>
      <c r="B260" s="105">
        <v>383828.86</v>
      </c>
      <c r="C260" s="209">
        <v>199336.65999999992</v>
      </c>
      <c r="D260" s="209">
        <v>25447.199999999997</v>
      </c>
      <c r="E260" s="209">
        <f t="shared" si="27"/>
        <v>173889.4599999999</v>
      </c>
      <c r="F260" s="209">
        <f t="shared" si="28"/>
        <v>25447.199999999997</v>
      </c>
      <c r="G260" s="209">
        <f t="shared" si="29"/>
        <v>148442.2599999999</v>
      </c>
      <c r="H260" s="209">
        <f t="shared" si="30"/>
        <v>161165.8599999999</v>
      </c>
      <c r="I260" s="89"/>
      <c r="J260" s="898"/>
    </row>
    <row r="261" spans="1:10" ht="25.5" hidden="1" outlineLevel="1">
      <c r="A261" s="6" t="s">
        <v>187</v>
      </c>
      <c r="B261" s="105">
        <v>383828.86</v>
      </c>
      <c r="C261" s="209">
        <v>199336.65999999992</v>
      </c>
      <c r="D261" s="209">
        <v>25447.199999999997</v>
      </c>
      <c r="E261" s="209">
        <f t="shared" si="27"/>
        <v>173889.4599999999</v>
      </c>
      <c r="F261" s="209">
        <f t="shared" si="28"/>
        <v>25447.199999999997</v>
      </c>
      <c r="G261" s="209">
        <f t="shared" si="29"/>
        <v>148442.2599999999</v>
      </c>
      <c r="H261" s="209">
        <f t="shared" si="30"/>
        <v>161165.8599999999</v>
      </c>
      <c r="I261" s="89"/>
      <c r="J261" s="901"/>
    </row>
    <row r="262" spans="1:10" ht="25.5" hidden="1" outlineLevel="1">
      <c r="A262" s="6" t="s">
        <v>188</v>
      </c>
      <c r="B262" s="105">
        <v>383828.86</v>
      </c>
      <c r="C262" s="209">
        <v>199336.65999999992</v>
      </c>
      <c r="D262" s="209">
        <v>25447.199999999997</v>
      </c>
      <c r="E262" s="209">
        <f t="shared" si="27"/>
        <v>173889.4599999999</v>
      </c>
      <c r="F262" s="209">
        <f t="shared" si="28"/>
        <v>25447.199999999997</v>
      </c>
      <c r="G262" s="209">
        <f t="shared" si="29"/>
        <v>148442.2599999999</v>
      </c>
      <c r="H262" s="209">
        <f t="shared" si="30"/>
        <v>161165.8599999999</v>
      </c>
      <c r="I262" s="89"/>
      <c r="J262" s="901"/>
    </row>
    <row r="263" spans="1:10" ht="25.5" hidden="1" outlineLevel="1">
      <c r="A263" s="6" t="s">
        <v>189</v>
      </c>
      <c r="B263" s="105">
        <v>383828.86</v>
      </c>
      <c r="C263" s="209">
        <v>199336.65999999992</v>
      </c>
      <c r="D263" s="209">
        <v>25447.199999999997</v>
      </c>
      <c r="E263" s="209">
        <f t="shared" si="27"/>
        <v>173889.4599999999</v>
      </c>
      <c r="F263" s="209">
        <f t="shared" si="28"/>
        <v>25447.199999999997</v>
      </c>
      <c r="G263" s="209">
        <f t="shared" si="29"/>
        <v>148442.2599999999</v>
      </c>
      <c r="H263" s="209">
        <f t="shared" si="30"/>
        <v>161165.8599999999</v>
      </c>
      <c r="I263" s="89"/>
      <c r="J263" s="900"/>
    </row>
    <row r="264" spans="1:10" ht="25.5" hidden="1" outlineLevel="1">
      <c r="A264" s="6" t="s">
        <v>190</v>
      </c>
      <c r="B264" s="105">
        <v>383828.86</v>
      </c>
      <c r="C264" s="209">
        <v>199336.65999999992</v>
      </c>
      <c r="D264" s="209">
        <v>25447.199999999997</v>
      </c>
      <c r="E264" s="209">
        <f t="shared" si="27"/>
        <v>173889.4599999999</v>
      </c>
      <c r="F264" s="209">
        <f t="shared" si="28"/>
        <v>25447.199999999997</v>
      </c>
      <c r="G264" s="209">
        <f t="shared" si="29"/>
        <v>148442.2599999999</v>
      </c>
      <c r="H264" s="209">
        <f t="shared" si="30"/>
        <v>161165.8599999999</v>
      </c>
      <c r="I264" s="89"/>
      <c r="J264" s="900"/>
    </row>
    <row r="265" spans="1:10" ht="25.5" hidden="1" outlineLevel="1">
      <c r="A265" s="6" t="s">
        <v>191</v>
      </c>
      <c r="B265" s="105">
        <v>383828.86</v>
      </c>
      <c r="C265" s="209">
        <v>199336.65999999992</v>
      </c>
      <c r="D265" s="209">
        <v>25447.199999999997</v>
      </c>
      <c r="E265" s="209">
        <f t="shared" si="27"/>
        <v>173889.4599999999</v>
      </c>
      <c r="F265" s="209">
        <f t="shared" si="28"/>
        <v>25447.199999999997</v>
      </c>
      <c r="G265" s="209">
        <f t="shared" si="29"/>
        <v>148442.2599999999</v>
      </c>
      <c r="H265" s="209">
        <f t="shared" si="30"/>
        <v>161165.8599999999</v>
      </c>
      <c r="I265" s="89"/>
      <c r="J265" s="900"/>
    </row>
    <row r="266" spans="1:10" ht="38.25" hidden="1" outlineLevel="1">
      <c r="A266" s="6" t="s">
        <v>192</v>
      </c>
      <c r="B266" s="105">
        <v>570933.9</v>
      </c>
      <c r="C266" s="209">
        <v>305970.17999999993</v>
      </c>
      <c r="D266" s="209">
        <v>37851.96</v>
      </c>
      <c r="E266" s="209">
        <f t="shared" si="27"/>
        <v>268118.2199999999</v>
      </c>
      <c r="F266" s="209">
        <f t="shared" si="28"/>
        <v>37851.96</v>
      </c>
      <c r="G266" s="209">
        <f t="shared" si="29"/>
        <v>230266.25999999992</v>
      </c>
      <c r="H266" s="209">
        <f t="shared" si="30"/>
        <v>249192.23999999993</v>
      </c>
      <c r="I266" s="89"/>
      <c r="J266" s="900"/>
    </row>
    <row r="267" spans="1:10" ht="38.25" hidden="1" outlineLevel="1">
      <c r="A267" s="6" t="s">
        <v>227</v>
      </c>
      <c r="B267" s="105">
        <v>570933.9</v>
      </c>
      <c r="C267" s="209">
        <v>305970.17999999993</v>
      </c>
      <c r="D267" s="209">
        <v>37851.96</v>
      </c>
      <c r="E267" s="209">
        <f t="shared" si="27"/>
        <v>268118.2199999999</v>
      </c>
      <c r="F267" s="209">
        <f t="shared" si="28"/>
        <v>37851.96</v>
      </c>
      <c r="G267" s="209">
        <f t="shared" si="29"/>
        <v>230266.25999999992</v>
      </c>
      <c r="H267" s="209">
        <f t="shared" si="30"/>
        <v>249192.23999999993</v>
      </c>
      <c r="I267" s="89"/>
      <c r="J267" s="900"/>
    </row>
    <row r="268" spans="1:10" ht="25.5" hidden="1" outlineLevel="1">
      <c r="A268" s="6" t="s">
        <v>61</v>
      </c>
      <c r="B268" s="105">
        <v>53467.97</v>
      </c>
      <c r="C268" s="209">
        <v>13256.890000000012</v>
      </c>
      <c r="D268" s="209">
        <v>5302.5599999999995</v>
      </c>
      <c r="E268" s="209">
        <f t="shared" si="27"/>
        <v>7954.330000000013</v>
      </c>
      <c r="F268" s="209">
        <f t="shared" si="28"/>
        <v>5302.5599999999995</v>
      </c>
      <c r="G268" s="209">
        <f t="shared" si="29"/>
        <v>2651.770000000013</v>
      </c>
      <c r="H268" s="209">
        <f t="shared" si="30"/>
        <v>5303.050000000013</v>
      </c>
      <c r="I268" s="89"/>
      <c r="J268" s="900"/>
    </row>
    <row r="269" spans="1:10" ht="25.5" hidden="1" outlineLevel="1">
      <c r="A269" s="6" t="s">
        <v>62</v>
      </c>
      <c r="B269" s="105">
        <v>53467.97</v>
      </c>
      <c r="C269" s="209">
        <v>13256.890000000012</v>
      </c>
      <c r="D269" s="209">
        <v>5302.5599999999995</v>
      </c>
      <c r="E269" s="209">
        <f t="shared" si="27"/>
        <v>7954.330000000013</v>
      </c>
      <c r="F269" s="209">
        <f t="shared" si="28"/>
        <v>5302.5599999999995</v>
      </c>
      <c r="G269" s="209">
        <f t="shared" si="29"/>
        <v>2651.770000000013</v>
      </c>
      <c r="H269" s="209">
        <f t="shared" si="30"/>
        <v>5303.050000000013</v>
      </c>
      <c r="I269" s="89"/>
      <c r="J269" s="900"/>
    </row>
    <row r="270" spans="1:10" ht="25.5" hidden="1" outlineLevel="1">
      <c r="A270" s="6" t="s">
        <v>63</v>
      </c>
      <c r="B270" s="105">
        <v>53467.97</v>
      </c>
      <c r="C270" s="209">
        <v>13256.890000000012</v>
      </c>
      <c r="D270" s="209">
        <v>5302.5599999999995</v>
      </c>
      <c r="E270" s="209">
        <f t="shared" si="27"/>
        <v>7954.330000000013</v>
      </c>
      <c r="F270" s="209">
        <f t="shared" si="28"/>
        <v>5302.5599999999995</v>
      </c>
      <c r="G270" s="209">
        <f t="shared" si="29"/>
        <v>2651.770000000013</v>
      </c>
      <c r="H270" s="209">
        <f t="shared" si="30"/>
        <v>5303.050000000013</v>
      </c>
      <c r="I270" s="89"/>
      <c r="J270" s="900"/>
    </row>
    <row r="271" spans="1:10" ht="25.5" hidden="1" outlineLevel="1">
      <c r="A271" s="6" t="s">
        <v>64</v>
      </c>
      <c r="B271" s="105">
        <v>53467.97</v>
      </c>
      <c r="C271" s="209">
        <v>13256.880000000003</v>
      </c>
      <c r="D271" s="209">
        <v>5302.5599999999995</v>
      </c>
      <c r="E271" s="209">
        <f t="shared" si="27"/>
        <v>7954.320000000003</v>
      </c>
      <c r="F271" s="209">
        <f t="shared" si="28"/>
        <v>5302.5599999999995</v>
      </c>
      <c r="G271" s="209">
        <f t="shared" si="29"/>
        <v>2651.760000000004</v>
      </c>
      <c r="H271" s="209">
        <f t="shared" si="30"/>
        <v>5303.040000000004</v>
      </c>
      <c r="I271" s="89"/>
      <c r="J271" s="900"/>
    </row>
    <row r="272" spans="1:10" ht="25.5" hidden="1" outlineLevel="1">
      <c r="A272" s="6" t="s">
        <v>65</v>
      </c>
      <c r="B272" s="105">
        <v>53467.97</v>
      </c>
      <c r="C272" s="209">
        <v>13256.890000000012</v>
      </c>
      <c r="D272" s="209">
        <v>5302.5599999999995</v>
      </c>
      <c r="E272" s="209">
        <f t="shared" si="27"/>
        <v>7954.330000000013</v>
      </c>
      <c r="F272" s="209">
        <f t="shared" si="28"/>
        <v>5302.5599999999995</v>
      </c>
      <c r="G272" s="209">
        <f t="shared" si="29"/>
        <v>2651.770000000013</v>
      </c>
      <c r="H272" s="209">
        <f t="shared" si="30"/>
        <v>5303.050000000013</v>
      </c>
      <c r="I272" s="89"/>
      <c r="J272" s="900"/>
    </row>
    <row r="273" spans="1:10" ht="12.75" hidden="1" outlineLevel="1">
      <c r="A273" s="218" t="s">
        <v>52</v>
      </c>
      <c r="B273" s="105">
        <v>712393.37</v>
      </c>
      <c r="C273" s="209">
        <v>359140.3700000001</v>
      </c>
      <c r="D273" s="209">
        <v>70650.6</v>
      </c>
      <c r="E273" s="209">
        <f t="shared" si="27"/>
        <v>288489.77000000014</v>
      </c>
      <c r="F273" s="209">
        <f t="shared" si="28"/>
        <v>70650.6</v>
      </c>
      <c r="G273" s="209">
        <f t="shared" si="29"/>
        <v>217839.17000000013</v>
      </c>
      <c r="H273" s="209">
        <f t="shared" si="30"/>
        <v>253164.47000000015</v>
      </c>
      <c r="I273" s="89"/>
      <c r="J273" s="900"/>
    </row>
    <row r="274" spans="1:10" ht="25.5" hidden="1" outlineLevel="1">
      <c r="A274" s="212" t="s">
        <v>234</v>
      </c>
      <c r="B274" s="105">
        <v>40001</v>
      </c>
      <c r="C274" s="209">
        <v>31778.489999999994</v>
      </c>
      <c r="D274" s="209">
        <v>2666.7599999999998</v>
      </c>
      <c r="E274" s="209">
        <f t="shared" si="27"/>
        <v>29111.729999999996</v>
      </c>
      <c r="F274" s="209">
        <f t="shared" si="28"/>
        <v>2666.7599999999998</v>
      </c>
      <c r="G274" s="209">
        <f t="shared" si="29"/>
        <v>26444.969999999998</v>
      </c>
      <c r="H274" s="209">
        <f t="shared" si="30"/>
        <v>27778.35</v>
      </c>
      <c r="I274" s="89"/>
      <c r="J274" s="900"/>
    </row>
    <row r="275" spans="1:10" ht="25.5" hidden="1" outlineLevel="1">
      <c r="A275" s="212" t="s">
        <v>235</v>
      </c>
      <c r="B275" s="105">
        <v>40001</v>
      </c>
      <c r="C275" s="209">
        <v>31778.489999999994</v>
      </c>
      <c r="D275" s="209">
        <v>2666.7599999999998</v>
      </c>
      <c r="E275" s="209">
        <f aca="true" t="shared" si="31" ref="E275:E336">C275-D275</f>
        <v>29111.729999999996</v>
      </c>
      <c r="F275" s="209">
        <f t="shared" si="28"/>
        <v>2666.7599999999998</v>
      </c>
      <c r="G275" s="209">
        <f t="shared" si="29"/>
        <v>26444.969999999998</v>
      </c>
      <c r="H275" s="209">
        <f t="shared" si="30"/>
        <v>27778.35</v>
      </c>
      <c r="I275" s="89"/>
      <c r="J275" s="900"/>
    </row>
    <row r="276" spans="1:10" ht="25.5" hidden="1" outlineLevel="1">
      <c r="A276" s="212" t="s">
        <v>248</v>
      </c>
      <c r="B276" s="105">
        <v>40001</v>
      </c>
      <c r="C276" s="209">
        <v>31778.489999999994</v>
      </c>
      <c r="D276" s="209">
        <v>2666.7599999999998</v>
      </c>
      <c r="E276" s="209">
        <f t="shared" si="31"/>
        <v>29111.729999999996</v>
      </c>
      <c r="F276" s="209">
        <f t="shared" si="28"/>
        <v>2666.7599999999998</v>
      </c>
      <c r="G276" s="209">
        <f t="shared" si="29"/>
        <v>26444.969999999998</v>
      </c>
      <c r="H276" s="209">
        <f t="shared" si="30"/>
        <v>27778.35</v>
      </c>
      <c r="I276" s="89"/>
      <c r="J276" s="902"/>
    </row>
    <row r="277" spans="1:10" ht="25.5" hidden="1" outlineLevel="1">
      <c r="A277" s="212" t="s">
        <v>249</v>
      </c>
      <c r="B277" s="105">
        <v>40001</v>
      </c>
      <c r="C277" s="209">
        <v>31778.489999999994</v>
      </c>
      <c r="D277" s="209">
        <v>2666.7599999999998</v>
      </c>
      <c r="E277" s="209">
        <f t="shared" si="31"/>
        <v>29111.729999999996</v>
      </c>
      <c r="F277" s="209">
        <f aca="true" t="shared" si="32" ref="F277:F339">IF(D277&lt;=E277,D277,E277)</f>
        <v>2666.7599999999998</v>
      </c>
      <c r="G277" s="209">
        <f aca="true" t="shared" si="33" ref="G277:G339">E277-F277</f>
        <v>26444.969999999998</v>
      </c>
      <c r="H277" s="209">
        <f aca="true" t="shared" si="34" ref="H277:H339">(E277+G277)/2</f>
        <v>27778.35</v>
      </c>
      <c r="I277" s="89"/>
      <c r="J277" s="900"/>
    </row>
    <row r="278" spans="1:10" ht="25.5" hidden="1" outlineLevel="1">
      <c r="A278" s="212" t="s">
        <v>250</v>
      </c>
      <c r="B278" s="105">
        <v>40001</v>
      </c>
      <c r="C278" s="209">
        <v>31778.489999999994</v>
      </c>
      <c r="D278" s="209">
        <v>2666.7599999999998</v>
      </c>
      <c r="E278" s="209">
        <f t="shared" si="31"/>
        <v>29111.729999999996</v>
      </c>
      <c r="F278" s="209">
        <f t="shared" si="32"/>
        <v>2666.7599999999998</v>
      </c>
      <c r="G278" s="209">
        <f t="shared" si="33"/>
        <v>26444.969999999998</v>
      </c>
      <c r="H278" s="209">
        <f t="shared" si="34"/>
        <v>27778.35</v>
      </c>
      <c r="I278" s="89"/>
      <c r="J278" s="900"/>
    </row>
    <row r="279" spans="1:10" ht="25.5" hidden="1" outlineLevel="1">
      <c r="A279" s="212" t="s">
        <v>251</v>
      </c>
      <c r="B279" s="105">
        <v>40001</v>
      </c>
      <c r="C279" s="209">
        <v>31778.489999999994</v>
      </c>
      <c r="D279" s="209">
        <v>2666.7599999999998</v>
      </c>
      <c r="E279" s="209">
        <f t="shared" si="31"/>
        <v>29111.729999999996</v>
      </c>
      <c r="F279" s="209">
        <f t="shared" si="32"/>
        <v>2666.7599999999998</v>
      </c>
      <c r="G279" s="209">
        <f t="shared" si="33"/>
        <v>26444.969999999998</v>
      </c>
      <c r="H279" s="209">
        <f t="shared" si="34"/>
        <v>27778.35</v>
      </c>
      <c r="I279" s="89"/>
      <c r="J279" s="900"/>
    </row>
    <row r="280" spans="1:10" ht="25.5" hidden="1" outlineLevel="1">
      <c r="A280" s="212" t="s">
        <v>252</v>
      </c>
      <c r="B280" s="105">
        <v>40001</v>
      </c>
      <c r="C280" s="209">
        <v>31778.489999999994</v>
      </c>
      <c r="D280" s="209">
        <v>2666.7599999999998</v>
      </c>
      <c r="E280" s="209">
        <f t="shared" si="31"/>
        <v>29111.729999999996</v>
      </c>
      <c r="F280" s="209">
        <f t="shared" si="32"/>
        <v>2666.7599999999998</v>
      </c>
      <c r="G280" s="209">
        <f t="shared" si="33"/>
        <v>26444.969999999998</v>
      </c>
      <c r="H280" s="209">
        <f t="shared" si="34"/>
        <v>27778.35</v>
      </c>
      <c r="I280" s="89"/>
      <c r="J280" s="900"/>
    </row>
    <row r="281" spans="1:10" ht="25.5" hidden="1" outlineLevel="1">
      <c r="A281" s="212" t="s">
        <v>253</v>
      </c>
      <c r="B281" s="105">
        <v>40001</v>
      </c>
      <c r="C281" s="209">
        <v>31778.489999999994</v>
      </c>
      <c r="D281" s="209">
        <v>2666.7599999999998</v>
      </c>
      <c r="E281" s="209">
        <f t="shared" si="31"/>
        <v>29111.729999999996</v>
      </c>
      <c r="F281" s="209">
        <f t="shared" si="32"/>
        <v>2666.7599999999998</v>
      </c>
      <c r="G281" s="209">
        <f t="shared" si="33"/>
        <v>26444.969999999998</v>
      </c>
      <c r="H281" s="209">
        <f t="shared" si="34"/>
        <v>27778.35</v>
      </c>
      <c r="I281" s="89"/>
      <c r="J281" s="900"/>
    </row>
    <row r="282" spans="1:10" ht="25.5" hidden="1" outlineLevel="1">
      <c r="A282" s="212" t="s">
        <v>254</v>
      </c>
      <c r="B282" s="105">
        <v>40001</v>
      </c>
      <c r="C282" s="209">
        <v>31778.489999999994</v>
      </c>
      <c r="D282" s="209">
        <v>2666.7599999999998</v>
      </c>
      <c r="E282" s="209">
        <f t="shared" si="31"/>
        <v>29111.729999999996</v>
      </c>
      <c r="F282" s="209">
        <f t="shared" si="32"/>
        <v>2666.7599999999998</v>
      </c>
      <c r="G282" s="209">
        <f t="shared" si="33"/>
        <v>26444.969999999998</v>
      </c>
      <c r="H282" s="209">
        <f t="shared" si="34"/>
        <v>27778.35</v>
      </c>
      <c r="I282" s="89"/>
      <c r="J282" s="900"/>
    </row>
    <row r="283" spans="1:10" ht="25.5" hidden="1" outlineLevel="1">
      <c r="A283" s="212" t="s">
        <v>255</v>
      </c>
      <c r="B283" s="105">
        <v>40001</v>
      </c>
      <c r="C283" s="209">
        <v>31778.489999999994</v>
      </c>
      <c r="D283" s="209">
        <v>2666.7599999999998</v>
      </c>
      <c r="E283" s="209">
        <f t="shared" si="31"/>
        <v>29111.729999999996</v>
      </c>
      <c r="F283" s="209">
        <f t="shared" si="32"/>
        <v>2666.7599999999998</v>
      </c>
      <c r="G283" s="209">
        <f t="shared" si="33"/>
        <v>26444.969999999998</v>
      </c>
      <c r="H283" s="209">
        <f t="shared" si="34"/>
        <v>27778.35</v>
      </c>
      <c r="I283" s="89"/>
      <c r="J283" s="900"/>
    </row>
    <row r="284" spans="1:10" ht="25.5" hidden="1" outlineLevel="1">
      <c r="A284" s="212" t="s">
        <v>256</v>
      </c>
      <c r="B284" s="105">
        <v>40001</v>
      </c>
      <c r="C284" s="209">
        <v>31778.489999999994</v>
      </c>
      <c r="D284" s="209">
        <v>2666.7599999999998</v>
      </c>
      <c r="E284" s="209">
        <f t="shared" si="31"/>
        <v>29111.729999999996</v>
      </c>
      <c r="F284" s="209">
        <f t="shared" si="32"/>
        <v>2666.7599999999998</v>
      </c>
      <c r="G284" s="209">
        <f t="shared" si="33"/>
        <v>26444.969999999998</v>
      </c>
      <c r="H284" s="209">
        <f t="shared" si="34"/>
        <v>27778.35</v>
      </c>
      <c r="I284" s="89"/>
      <c r="J284" s="900"/>
    </row>
    <row r="285" spans="1:10" ht="25.5" hidden="1" outlineLevel="1">
      <c r="A285" s="212" t="s">
        <v>257</v>
      </c>
      <c r="B285" s="105">
        <v>40001</v>
      </c>
      <c r="C285" s="209">
        <v>31778.489999999994</v>
      </c>
      <c r="D285" s="209">
        <v>2666.7599999999998</v>
      </c>
      <c r="E285" s="209">
        <f t="shared" si="31"/>
        <v>29111.729999999996</v>
      </c>
      <c r="F285" s="209">
        <f t="shared" si="32"/>
        <v>2666.7599999999998</v>
      </c>
      <c r="G285" s="209">
        <f t="shared" si="33"/>
        <v>26444.969999999998</v>
      </c>
      <c r="H285" s="209">
        <f t="shared" si="34"/>
        <v>27778.35</v>
      </c>
      <c r="I285" s="89"/>
      <c r="J285" s="900"/>
    </row>
    <row r="286" spans="1:10" ht="12.75" hidden="1" outlineLevel="1">
      <c r="A286" s="212" t="s">
        <v>258</v>
      </c>
      <c r="B286" s="105">
        <v>40001</v>
      </c>
      <c r="C286" s="209">
        <v>31778.489999999994</v>
      </c>
      <c r="D286" s="209">
        <v>2666.7599999999998</v>
      </c>
      <c r="E286" s="209">
        <f t="shared" si="31"/>
        <v>29111.729999999996</v>
      </c>
      <c r="F286" s="209">
        <f t="shared" si="32"/>
        <v>2666.7599999999998</v>
      </c>
      <c r="G286" s="209">
        <f t="shared" si="33"/>
        <v>26444.969999999998</v>
      </c>
      <c r="H286" s="209">
        <f t="shared" si="34"/>
        <v>27778.35</v>
      </c>
      <c r="I286" s="89"/>
      <c r="J286" s="900"/>
    </row>
    <row r="287" spans="1:10" ht="12.75" hidden="1" outlineLevel="1">
      <c r="A287" s="212" t="s">
        <v>259</v>
      </c>
      <c r="B287" s="105">
        <v>40001</v>
      </c>
      <c r="C287" s="209">
        <v>31778.489999999994</v>
      </c>
      <c r="D287" s="209">
        <v>2666.7599999999998</v>
      </c>
      <c r="E287" s="209">
        <f t="shared" si="31"/>
        <v>29111.729999999996</v>
      </c>
      <c r="F287" s="209">
        <f t="shared" si="32"/>
        <v>2666.7599999999998</v>
      </c>
      <c r="G287" s="209">
        <f t="shared" si="33"/>
        <v>26444.969999999998</v>
      </c>
      <c r="H287" s="209">
        <f t="shared" si="34"/>
        <v>27778.35</v>
      </c>
      <c r="I287" s="89"/>
      <c r="J287" s="900"/>
    </row>
    <row r="288" spans="1:10" ht="25.5" hidden="1" outlineLevel="1">
      <c r="A288" s="212" t="s">
        <v>260</v>
      </c>
      <c r="B288" s="105">
        <v>40001</v>
      </c>
      <c r="C288" s="209">
        <v>31778.489999999994</v>
      </c>
      <c r="D288" s="209">
        <v>2666.7599999999998</v>
      </c>
      <c r="E288" s="209">
        <f t="shared" si="31"/>
        <v>29111.729999999996</v>
      </c>
      <c r="F288" s="209">
        <f t="shared" si="32"/>
        <v>2666.7599999999998</v>
      </c>
      <c r="G288" s="209">
        <f t="shared" si="33"/>
        <v>26444.969999999998</v>
      </c>
      <c r="H288" s="209">
        <f t="shared" si="34"/>
        <v>27778.35</v>
      </c>
      <c r="I288" s="89"/>
      <c r="J288" s="900"/>
    </row>
    <row r="289" spans="1:10" ht="25.5" hidden="1" outlineLevel="1">
      <c r="A289" s="212" t="s">
        <v>261</v>
      </c>
      <c r="B289" s="105">
        <v>40001</v>
      </c>
      <c r="C289" s="209">
        <v>31778.489999999994</v>
      </c>
      <c r="D289" s="209">
        <v>2666.7599999999998</v>
      </c>
      <c r="E289" s="209">
        <f t="shared" si="31"/>
        <v>29111.729999999996</v>
      </c>
      <c r="F289" s="209">
        <f t="shared" si="32"/>
        <v>2666.7599999999998</v>
      </c>
      <c r="G289" s="209">
        <f t="shared" si="33"/>
        <v>26444.969999999998</v>
      </c>
      <c r="H289" s="209">
        <f t="shared" si="34"/>
        <v>27778.35</v>
      </c>
      <c r="I289" s="89"/>
      <c r="J289" s="900"/>
    </row>
    <row r="290" spans="1:10" ht="12.75" hidden="1" outlineLevel="1">
      <c r="A290" s="212" t="s">
        <v>262</v>
      </c>
      <c r="B290" s="105">
        <v>40001</v>
      </c>
      <c r="C290" s="209">
        <v>33834.21</v>
      </c>
      <c r="D290" s="209">
        <v>2000.04</v>
      </c>
      <c r="E290" s="209">
        <f t="shared" si="31"/>
        <v>31834.17</v>
      </c>
      <c r="F290" s="209">
        <f t="shared" si="32"/>
        <v>2000.04</v>
      </c>
      <c r="G290" s="209">
        <f t="shared" si="33"/>
        <v>29834.129999999997</v>
      </c>
      <c r="H290" s="209">
        <f t="shared" si="34"/>
        <v>30834.149999999998</v>
      </c>
      <c r="I290" s="89"/>
      <c r="J290" s="900"/>
    </row>
    <row r="291" spans="1:10" ht="12.75" hidden="1" outlineLevel="1">
      <c r="A291" s="212" t="s">
        <v>263</v>
      </c>
      <c r="B291" s="105">
        <v>130000</v>
      </c>
      <c r="C291" s="209">
        <v>73259.83</v>
      </c>
      <c r="D291" s="209">
        <v>8618.76</v>
      </c>
      <c r="E291" s="209">
        <f t="shared" si="31"/>
        <v>64641.07</v>
      </c>
      <c r="F291" s="209">
        <f t="shared" si="32"/>
        <v>8618.76</v>
      </c>
      <c r="G291" s="209">
        <f t="shared" si="33"/>
        <v>56022.31</v>
      </c>
      <c r="H291" s="209">
        <f t="shared" si="34"/>
        <v>60331.69</v>
      </c>
      <c r="I291" s="89"/>
      <c r="J291" s="900"/>
    </row>
    <row r="292" spans="1:10" ht="12.75" hidden="1" outlineLevel="1">
      <c r="A292" s="212" t="s">
        <v>264</v>
      </c>
      <c r="B292" s="105">
        <v>130000</v>
      </c>
      <c r="C292" s="209">
        <v>73259.83</v>
      </c>
      <c r="D292" s="209">
        <v>8618.76</v>
      </c>
      <c r="E292" s="209">
        <f t="shared" si="31"/>
        <v>64641.07</v>
      </c>
      <c r="F292" s="209">
        <f t="shared" si="32"/>
        <v>8618.76</v>
      </c>
      <c r="G292" s="209">
        <f t="shared" si="33"/>
        <v>56022.31</v>
      </c>
      <c r="H292" s="209">
        <f t="shared" si="34"/>
        <v>60331.69</v>
      </c>
      <c r="I292" s="89"/>
      <c r="J292" s="900"/>
    </row>
    <row r="293" spans="1:10" ht="25.5" hidden="1" outlineLevel="1">
      <c r="A293" s="212" t="s">
        <v>265</v>
      </c>
      <c r="B293" s="105">
        <v>40001</v>
      </c>
      <c r="C293" s="209">
        <v>33834.21</v>
      </c>
      <c r="D293" s="209">
        <v>2000.04</v>
      </c>
      <c r="E293" s="209">
        <f t="shared" si="31"/>
        <v>31834.17</v>
      </c>
      <c r="F293" s="209">
        <f t="shared" si="32"/>
        <v>2000.04</v>
      </c>
      <c r="G293" s="209">
        <f t="shared" si="33"/>
        <v>29834.129999999997</v>
      </c>
      <c r="H293" s="209">
        <f t="shared" si="34"/>
        <v>30834.149999999998</v>
      </c>
      <c r="I293" s="89"/>
      <c r="J293" s="900"/>
    </row>
    <row r="294" spans="1:10" ht="25.5" hidden="1" outlineLevel="1">
      <c r="A294" s="212" t="s">
        <v>266</v>
      </c>
      <c r="B294" s="105">
        <v>40001</v>
      </c>
      <c r="C294" s="209">
        <v>33834.21</v>
      </c>
      <c r="D294" s="209">
        <v>2000.04</v>
      </c>
      <c r="E294" s="209">
        <f t="shared" si="31"/>
        <v>31834.17</v>
      </c>
      <c r="F294" s="209">
        <f t="shared" si="32"/>
        <v>2000.04</v>
      </c>
      <c r="G294" s="209">
        <f t="shared" si="33"/>
        <v>29834.129999999997</v>
      </c>
      <c r="H294" s="209">
        <f t="shared" si="34"/>
        <v>30834.149999999998</v>
      </c>
      <c r="I294" s="89"/>
      <c r="J294" s="900"/>
    </row>
    <row r="295" spans="1:10" ht="25.5" hidden="1" outlineLevel="1">
      <c r="A295" s="212" t="s">
        <v>267</v>
      </c>
      <c r="B295" s="105">
        <v>40001</v>
      </c>
      <c r="C295" s="209">
        <v>33834.21</v>
      </c>
      <c r="D295" s="209">
        <v>2000.04</v>
      </c>
      <c r="E295" s="209">
        <f t="shared" si="31"/>
        <v>31834.17</v>
      </c>
      <c r="F295" s="209">
        <f t="shared" si="32"/>
        <v>2000.04</v>
      </c>
      <c r="G295" s="209">
        <f t="shared" si="33"/>
        <v>29834.129999999997</v>
      </c>
      <c r="H295" s="209">
        <f t="shared" si="34"/>
        <v>30834.149999999998</v>
      </c>
      <c r="I295" s="89"/>
      <c r="J295" s="900"/>
    </row>
    <row r="296" spans="1:10" ht="25.5" hidden="1" outlineLevel="1">
      <c r="A296" s="212" t="s">
        <v>268</v>
      </c>
      <c r="B296" s="105">
        <v>40001</v>
      </c>
      <c r="C296" s="209">
        <v>33834.21</v>
      </c>
      <c r="D296" s="209">
        <v>2000.04</v>
      </c>
      <c r="E296" s="209">
        <f t="shared" si="31"/>
        <v>31834.17</v>
      </c>
      <c r="F296" s="209">
        <f t="shared" si="32"/>
        <v>2000.04</v>
      </c>
      <c r="G296" s="209">
        <f t="shared" si="33"/>
        <v>29834.129999999997</v>
      </c>
      <c r="H296" s="209">
        <f t="shared" si="34"/>
        <v>30834.149999999998</v>
      </c>
      <c r="I296" s="89"/>
      <c r="J296" s="900"/>
    </row>
    <row r="297" spans="1:10" ht="25.5" hidden="1" outlineLevel="1">
      <c r="A297" s="212" t="s">
        <v>269</v>
      </c>
      <c r="B297" s="105">
        <v>40001</v>
      </c>
      <c r="C297" s="209">
        <v>33834.21</v>
      </c>
      <c r="D297" s="209">
        <v>2000.04</v>
      </c>
      <c r="E297" s="209">
        <f t="shared" si="31"/>
        <v>31834.17</v>
      </c>
      <c r="F297" s="209">
        <f t="shared" si="32"/>
        <v>2000.04</v>
      </c>
      <c r="G297" s="209">
        <f t="shared" si="33"/>
        <v>29834.129999999997</v>
      </c>
      <c r="H297" s="209">
        <f t="shared" si="34"/>
        <v>30834.149999999998</v>
      </c>
      <c r="I297" s="89"/>
      <c r="J297" s="900"/>
    </row>
    <row r="298" spans="1:10" ht="25.5" hidden="1" outlineLevel="1">
      <c r="A298" s="212" t="s">
        <v>270</v>
      </c>
      <c r="B298" s="105">
        <v>40001</v>
      </c>
      <c r="C298" s="209">
        <v>33834.21</v>
      </c>
      <c r="D298" s="209">
        <v>2000.04</v>
      </c>
      <c r="E298" s="209">
        <f t="shared" si="31"/>
        <v>31834.17</v>
      </c>
      <c r="F298" s="209">
        <f t="shared" si="32"/>
        <v>2000.04</v>
      </c>
      <c r="G298" s="209">
        <f t="shared" si="33"/>
        <v>29834.129999999997</v>
      </c>
      <c r="H298" s="209">
        <f t="shared" si="34"/>
        <v>30834.149999999998</v>
      </c>
      <c r="I298" s="89"/>
      <c r="J298" s="900"/>
    </row>
    <row r="299" spans="1:10" ht="25.5" hidden="1" outlineLevel="1">
      <c r="A299" s="212" t="s">
        <v>311</v>
      </c>
      <c r="B299" s="105">
        <v>148690.84</v>
      </c>
      <c r="C299" s="209">
        <v>68223.03999999998</v>
      </c>
      <c r="D299" s="209">
        <v>20991.6</v>
      </c>
      <c r="E299" s="209">
        <f t="shared" si="31"/>
        <v>47231.43999999998</v>
      </c>
      <c r="F299" s="209">
        <f t="shared" si="32"/>
        <v>20991.6</v>
      </c>
      <c r="G299" s="209">
        <f t="shared" si="33"/>
        <v>26239.839999999982</v>
      </c>
      <c r="H299" s="209">
        <f t="shared" si="34"/>
        <v>36735.639999999985</v>
      </c>
      <c r="I299" s="89"/>
      <c r="J299" s="900"/>
    </row>
    <row r="300" spans="1:10" ht="25.5" hidden="1" outlineLevel="1">
      <c r="A300" s="212" t="s">
        <v>312</v>
      </c>
      <c r="B300" s="105">
        <v>148690.84</v>
      </c>
      <c r="C300" s="209">
        <v>68223.03999999998</v>
      </c>
      <c r="D300" s="209">
        <v>20991.6</v>
      </c>
      <c r="E300" s="209">
        <f t="shared" si="31"/>
        <v>47231.43999999998</v>
      </c>
      <c r="F300" s="209">
        <f t="shared" si="32"/>
        <v>20991.6</v>
      </c>
      <c r="G300" s="209">
        <f t="shared" si="33"/>
        <v>26239.839999999982</v>
      </c>
      <c r="H300" s="209">
        <f t="shared" si="34"/>
        <v>36735.639999999985</v>
      </c>
      <c r="I300" s="89"/>
      <c r="J300" s="900"/>
    </row>
    <row r="301" spans="1:10" ht="25.5" hidden="1" outlineLevel="1">
      <c r="A301" s="212" t="s">
        <v>313</v>
      </c>
      <c r="B301" s="105">
        <v>148690.84</v>
      </c>
      <c r="C301" s="209">
        <v>68223.03999999998</v>
      </c>
      <c r="D301" s="209">
        <v>20991.6</v>
      </c>
      <c r="E301" s="209">
        <f t="shared" si="31"/>
        <v>47231.43999999998</v>
      </c>
      <c r="F301" s="209">
        <f t="shared" si="32"/>
        <v>20991.6</v>
      </c>
      <c r="G301" s="209">
        <f t="shared" si="33"/>
        <v>26239.839999999982</v>
      </c>
      <c r="H301" s="209">
        <f t="shared" si="34"/>
        <v>36735.639999999985</v>
      </c>
      <c r="I301" s="89"/>
      <c r="J301" s="900"/>
    </row>
    <row r="302" spans="1:10" ht="25.5" hidden="1" outlineLevel="1">
      <c r="A302" s="212" t="s">
        <v>314</v>
      </c>
      <c r="B302" s="105">
        <v>121340.57</v>
      </c>
      <c r="C302" s="209">
        <v>42825.87000000001</v>
      </c>
      <c r="D302" s="209">
        <v>17130.48</v>
      </c>
      <c r="E302" s="209">
        <f t="shared" si="31"/>
        <v>25695.39000000001</v>
      </c>
      <c r="F302" s="209">
        <f t="shared" si="32"/>
        <v>17130.48</v>
      </c>
      <c r="G302" s="209">
        <f t="shared" si="33"/>
        <v>8564.91000000001</v>
      </c>
      <c r="H302" s="209">
        <f t="shared" si="34"/>
        <v>17130.15000000001</v>
      </c>
      <c r="I302" s="89"/>
      <c r="J302" s="900"/>
    </row>
    <row r="303" spans="1:10" ht="25.5" hidden="1" outlineLevel="1">
      <c r="A303" s="212" t="s">
        <v>315</v>
      </c>
      <c r="B303" s="105">
        <v>121340.57</v>
      </c>
      <c r="C303" s="209">
        <v>42825.87000000001</v>
      </c>
      <c r="D303" s="209">
        <v>17130.48</v>
      </c>
      <c r="E303" s="209">
        <f t="shared" si="31"/>
        <v>25695.39000000001</v>
      </c>
      <c r="F303" s="209">
        <f t="shared" si="32"/>
        <v>17130.48</v>
      </c>
      <c r="G303" s="209">
        <f t="shared" si="33"/>
        <v>8564.91000000001</v>
      </c>
      <c r="H303" s="209">
        <f t="shared" si="34"/>
        <v>17130.15000000001</v>
      </c>
      <c r="I303" s="89"/>
      <c r="J303" s="900"/>
    </row>
    <row r="304" spans="1:10" ht="25.5" hidden="1" outlineLevel="1">
      <c r="A304" s="212" t="s">
        <v>316</v>
      </c>
      <c r="B304" s="105">
        <v>121340.57</v>
      </c>
      <c r="C304" s="209">
        <v>42825.87000000001</v>
      </c>
      <c r="D304" s="209">
        <v>17130.48</v>
      </c>
      <c r="E304" s="209">
        <f t="shared" si="31"/>
        <v>25695.39000000001</v>
      </c>
      <c r="F304" s="209">
        <f t="shared" si="32"/>
        <v>17130.48</v>
      </c>
      <c r="G304" s="209">
        <f t="shared" si="33"/>
        <v>8564.91000000001</v>
      </c>
      <c r="H304" s="209">
        <f t="shared" si="34"/>
        <v>17130.15000000001</v>
      </c>
      <c r="I304" s="89"/>
      <c r="J304" s="900"/>
    </row>
    <row r="305" spans="1:10" ht="25.5" hidden="1" outlineLevel="1">
      <c r="A305" s="212" t="s">
        <v>317</v>
      </c>
      <c r="B305" s="105">
        <v>121340.57</v>
      </c>
      <c r="C305" s="209">
        <v>42825.87000000001</v>
      </c>
      <c r="D305" s="209">
        <v>17130.48</v>
      </c>
      <c r="E305" s="209">
        <f t="shared" si="31"/>
        <v>25695.39000000001</v>
      </c>
      <c r="F305" s="209">
        <f t="shared" si="32"/>
        <v>17130.48</v>
      </c>
      <c r="G305" s="209">
        <f t="shared" si="33"/>
        <v>8564.91000000001</v>
      </c>
      <c r="H305" s="209">
        <f t="shared" si="34"/>
        <v>17130.15000000001</v>
      </c>
      <c r="I305" s="89"/>
      <c r="J305" s="900"/>
    </row>
    <row r="306" spans="1:10" ht="25.5" hidden="1" outlineLevel="1">
      <c r="A306" s="212" t="s">
        <v>318</v>
      </c>
      <c r="B306" s="105">
        <v>40001</v>
      </c>
      <c r="C306" s="209">
        <v>33834.21</v>
      </c>
      <c r="D306" s="209">
        <v>2000.04</v>
      </c>
      <c r="E306" s="209">
        <f t="shared" si="31"/>
        <v>31834.17</v>
      </c>
      <c r="F306" s="209">
        <f t="shared" si="32"/>
        <v>2000.04</v>
      </c>
      <c r="G306" s="209">
        <f t="shared" si="33"/>
        <v>29834.129999999997</v>
      </c>
      <c r="H306" s="209">
        <f t="shared" si="34"/>
        <v>30834.149999999998</v>
      </c>
      <c r="I306" s="89"/>
      <c r="J306" s="900"/>
    </row>
    <row r="307" spans="1:10" ht="25.5" hidden="1" outlineLevel="1">
      <c r="A307" s="212" t="s">
        <v>319</v>
      </c>
      <c r="B307" s="105">
        <v>40001</v>
      </c>
      <c r="C307" s="209">
        <v>33834.21</v>
      </c>
      <c r="D307" s="209">
        <v>2000.04</v>
      </c>
      <c r="E307" s="209">
        <f t="shared" si="31"/>
        <v>31834.17</v>
      </c>
      <c r="F307" s="209">
        <f t="shared" si="32"/>
        <v>2000.04</v>
      </c>
      <c r="G307" s="209">
        <f t="shared" si="33"/>
        <v>29834.129999999997</v>
      </c>
      <c r="H307" s="209">
        <f t="shared" si="34"/>
        <v>30834.149999999998</v>
      </c>
      <c r="I307" s="89"/>
      <c r="J307" s="900"/>
    </row>
    <row r="308" spans="1:10" ht="25.5" hidden="1" outlineLevel="1">
      <c r="A308" s="212" t="s">
        <v>320</v>
      </c>
      <c r="B308" s="105">
        <v>250000</v>
      </c>
      <c r="C308" s="209">
        <v>172916.79000000004</v>
      </c>
      <c r="D308" s="209">
        <v>24999.96</v>
      </c>
      <c r="E308" s="209">
        <f t="shared" si="31"/>
        <v>147916.83000000005</v>
      </c>
      <c r="F308" s="209">
        <f t="shared" si="32"/>
        <v>24999.96</v>
      </c>
      <c r="G308" s="209">
        <f t="shared" si="33"/>
        <v>122916.87000000005</v>
      </c>
      <c r="H308" s="209">
        <f t="shared" si="34"/>
        <v>135416.85000000003</v>
      </c>
      <c r="I308" s="89"/>
      <c r="J308" s="900"/>
    </row>
    <row r="309" spans="1:10" ht="25.5" hidden="1" outlineLevel="1">
      <c r="A309" s="212" t="s">
        <v>321</v>
      </c>
      <c r="B309" s="105">
        <v>250000</v>
      </c>
      <c r="C309" s="209">
        <v>172916.79000000004</v>
      </c>
      <c r="D309" s="209">
        <v>24999.96</v>
      </c>
      <c r="E309" s="209">
        <f t="shared" si="31"/>
        <v>147916.83000000005</v>
      </c>
      <c r="F309" s="209">
        <f t="shared" si="32"/>
        <v>24999.96</v>
      </c>
      <c r="G309" s="209">
        <f t="shared" si="33"/>
        <v>122916.87000000005</v>
      </c>
      <c r="H309" s="209">
        <f t="shared" si="34"/>
        <v>135416.85000000003</v>
      </c>
      <c r="I309" s="89"/>
      <c r="J309" s="900"/>
    </row>
    <row r="310" spans="1:10" ht="12.75" hidden="1" outlineLevel="1">
      <c r="A310" s="212" t="s">
        <v>335</v>
      </c>
      <c r="B310" s="105">
        <v>40001</v>
      </c>
      <c r="C310" s="209">
        <v>31778.489999999994</v>
      </c>
      <c r="D310" s="209">
        <v>2666.7599999999998</v>
      </c>
      <c r="E310" s="209">
        <f t="shared" si="31"/>
        <v>29111.729999999996</v>
      </c>
      <c r="F310" s="209">
        <f t="shared" si="32"/>
        <v>2666.7599999999998</v>
      </c>
      <c r="G310" s="209">
        <f t="shared" si="33"/>
        <v>26444.969999999998</v>
      </c>
      <c r="H310" s="209">
        <f t="shared" si="34"/>
        <v>27778.35</v>
      </c>
      <c r="I310" s="89"/>
      <c r="J310" s="900"/>
    </row>
    <row r="311" spans="1:10" ht="12.75" hidden="1" outlineLevel="1">
      <c r="A311" s="212" t="s">
        <v>336</v>
      </c>
      <c r="B311" s="105">
        <v>40001</v>
      </c>
      <c r="C311" s="209">
        <v>31778.489999999994</v>
      </c>
      <c r="D311" s="209">
        <v>2666.7599999999998</v>
      </c>
      <c r="E311" s="209">
        <f t="shared" si="31"/>
        <v>29111.729999999996</v>
      </c>
      <c r="F311" s="209">
        <f t="shared" si="32"/>
        <v>2666.7599999999998</v>
      </c>
      <c r="G311" s="209">
        <f t="shared" si="33"/>
        <v>26444.969999999998</v>
      </c>
      <c r="H311" s="209">
        <f t="shared" si="34"/>
        <v>27778.35</v>
      </c>
      <c r="I311" s="89"/>
      <c r="J311" s="900"/>
    </row>
    <row r="312" spans="1:10" ht="12.75" hidden="1" outlineLevel="1">
      <c r="A312" s="212" t="s">
        <v>337</v>
      </c>
      <c r="B312" s="105">
        <v>40001</v>
      </c>
      <c r="C312" s="209">
        <v>31778.489999999994</v>
      </c>
      <c r="D312" s="209">
        <v>2666.7599999999998</v>
      </c>
      <c r="E312" s="209">
        <f t="shared" si="31"/>
        <v>29111.729999999996</v>
      </c>
      <c r="F312" s="209">
        <f t="shared" si="32"/>
        <v>2666.7599999999998</v>
      </c>
      <c r="G312" s="209">
        <f t="shared" si="33"/>
        <v>26444.969999999998</v>
      </c>
      <c r="H312" s="209">
        <f t="shared" si="34"/>
        <v>27778.35</v>
      </c>
      <c r="I312" s="89"/>
      <c r="J312" s="900"/>
    </row>
    <row r="313" spans="1:10" ht="12.75" hidden="1" outlineLevel="1">
      <c r="A313" s="212" t="s">
        <v>338</v>
      </c>
      <c r="B313" s="105">
        <v>40001</v>
      </c>
      <c r="C313" s="209">
        <v>31778.489999999994</v>
      </c>
      <c r="D313" s="209">
        <v>2666.7599999999998</v>
      </c>
      <c r="E313" s="209">
        <f t="shared" si="31"/>
        <v>29111.729999999996</v>
      </c>
      <c r="F313" s="209">
        <f t="shared" si="32"/>
        <v>2666.7599999999998</v>
      </c>
      <c r="G313" s="209">
        <f t="shared" si="33"/>
        <v>26444.969999999998</v>
      </c>
      <c r="H313" s="209">
        <f t="shared" si="34"/>
        <v>27778.35</v>
      </c>
      <c r="I313" s="89"/>
      <c r="J313" s="900"/>
    </row>
    <row r="314" spans="1:10" ht="12.75" hidden="1" outlineLevel="1">
      <c r="A314" s="212" t="s">
        <v>339</v>
      </c>
      <c r="B314" s="105">
        <v>40001</v>
      </c>
      <c r="C314" s="209">
        <v>27667.42</v>
      </c>
      <c r="D314" s="209">
        <v>4000.08</v>
      </c>
      <c r="E314" s="209">
        <f t="shared" si="31"/>
        <v>23667.339999999997</v>
      </c>
      <c r="F314" s="209">
        <f t="shared" si="32"/>
        <v>4000.08</v>
      </c>
      <c r="G314" s="209">
        <f t="shared" si="33"/>
        <v>19667.259999999995</v>
      </c>
      <c r="H314" s="209">
        <f t="shared" si="34"/>
        <v>21667.299999999996</v>
      </c>
      <c r="I314" s="89"/>
      <c r="J314" s="900"/>
    </row>
    <row r="315" spans="1:10" ht="25.5" hidden="1" outlineLevel="1">
      <c r="A315" s="212" t="s">
        <v>340</v>
      </c>
      <c r="B315" s="105">
        <v>40001</v>
      </c>
      <c r="C315" s="209">
        <v>27667.42</v>
      </c>
      <c r="D315" s="209">
        <v>4000.08</v>
      </c>
      <c r="E315" s="209">
        <f t="shared" si="31"/>
        <v>23667.339999999997</v>
      </c>
      <c r="F315" s="209">
        <f t="shared" si="32"/>
        <v>4000.08</v>
      </c>
      <c r="G315" s="209">
        <f t="shared" si="33"/>
        <v>19667.259999999995</v>
      </c>
      <c r="H315" s="209">
        <f t="shared" si="34"/>
        <v>21667.299999999996</v>
      </c>
      <c r="I315" s="89"/>
      <c r="J315" s="900"/>
    </row>
    <row r="316" spans="1:10" ht="12.75" hidden="1" outlineLevel="1">
      <c r="A316" s="212" t="s">
        <v>341</v>
      </c>
      <c r="B316" s="105">
        <v>4380937.81</v>
      </c>
      <c r="C316" s="209">
        <v>2565631.81</v>
      </c>
      <c r="D316" s="209">
        <v>290448.96</v>
      </c>
      <c r="E316" s="209">
        <f t="shared" si="31"/>
        <v>2275182.85</v>
      </c>
      <c r="F316" s="209">
        <f t="shared" si="32"/>
        <v>290448.96</v>
      </c>
      <c r="G316" s="209">
        <f t="shared" si="33"/>
        <v>1984733.8900000001</v>
      </c>
      <c r="H316" s="209">
        <f t="shared" si="34"/>
        <v>2129958.37</v>
      </c>
      <c r="I316" s="89"/>
      <c r="J316" s="900"/>
    </row>
    <row r="317" spans="1:10" ht="12.75" hidden="1" outlineLevel="1">
      <c r="A317" s="212" t="s">
        <v>342</v>
      </c>
      <c r="B317" s="105">
        <v>4380938.81</v>
      </c>
      <c r="C317" s="209">
        <v>2565631.81</v>
      </c>
      <c r="D317" s="209">
        <v>290448.96</v>
      </c>
      <c r="E317" s="209">
        <f t="shared" si="31"/>
        <v>2275182.85</v>
      </c>
      <c r="F317" s="209">
        <f t="shared" si="32"/>
        <v>290448.96</v>
      </c>
      <c r="G317" s="209">
        <f t="shared" si="33"/>
        <v>1984733.8900000001</v>
      </c>
      <c r="H317" s="209">
        <f t="shared" si="34"/>
        <v>2129958.37</v>
      </c>
      <c r="I317" s="89"/>
      <c r="J317" s="900"/>
    </row>
    <row r="318" spans="1:10" ht="12.75" hidden="1" outlineLevel="1">
      <c r="A318" s="212" t="s">
        <v>343</v>
      </c>
      <c r="B318" s="105">
        <v>4380939.81</v>
      </c>
      <c r="C318" s="209">
        <v>2565631.81</v>
      </c>
      <c r="D318" s="209">
        <v>290448.96</v>
      </c>
      <c r="E318" s="209">
        <f t="shared" si="31"/>
        <v>2275182.85</v>
      </c>
      <c r="F318" s="209">
        <f t="shared" si="32"/>
        <v>290448.96</v>
      </c>
      <c r="G318" s="209">
        <f t="shared" si="33"/>
        <v>1984733.8900000001</v>
      </c>
      <c r="H318" s="209">
        <f t="shared" si="34"/>
        <v>2129958.37</v>
      </c>
      <c r="I318" s="89"/>
      <c r="J318" s="900"/>
    </row>
    <row r="319" spans="1:10" ht="25.5" hidden="1" outlineLevel="1">
      <c r="A319" s="212" t="s">
        <v>344</v>
      </c>
      <c r="B319" s="105">
        <v>371962</v>
      </c>
      <c r="C319" s="209">
        <v>224406.63999999996</v>
      </c>
      <c r="D319" s="209">
        <v>36888.840000000004</v>
      </c>
      <c r="E319" s="209">
        <f t="shared" si="31"/>
        <v>187517.79999999996</v>
      </c>
      <c r="F319" s="209">
        <f t="shared" si="32"/>
        <v>36888.840000000004</v>
      </c>
      <c r="G319" s="209">
        <f t="shared" si="33"/>
        <v>150628.95999999996</v>
      </c>
      <c r="H319" s="209">
        <f t="shared" si="34"/>
        <v>169073.37999999995</v>
      </c>
      <c r="I319" s="89"/>
      <c r="J319" s="900"/>
    </row>
    <row r="320" spans="1:10" ht="25.5" hidden="1" outlineLevel="1">
      <c r="A320" s="212" t="s">
        <v>345</v>
      </c>
      <c r="B320" s="105">
        <v>371962</v>
      </c>
      <c r="C320" s="209">
        <v>224406.63999999996</v>
      </c>
      <c r="D320" s="209">
        <v>36888.840000000004</v>
      </c>
      <c r="E320" s="209">
        <f t="shared" si="31"/>
        <v>187517.79999999996</v>
      </c>
      <c r="F320" s="209">
        <f t="shared" si="32"/>
        <v>36888.840000000004</v>
      </c>
      <c r="G320" s="209">
        <f t="shared" si="33"/>
        <v>150628.95999999996</v>
      </c>
      <c r="H320" s="209">
        <f t="shared" si="34"/>
        <v>169073.37999999995</v>
      </c>
      <c r="I320" s="89"/>
      <c r="J320" s="900"/>
    </row>
    <row r="321" spans="1:10" ht="25.5" hidden="1" outlineLevel="1">
      <c r="A321" s="212" t="s">
        <v>346</v>
      </c>
      <c r="B321" s="105">
        <v>371962</v>
      </c>
      <c r="C321" s="209">
        <v>224406.63999999996</v>
      </c>
      <c r="D321" s="209">
        <v>36888.840000000004</v>
      </c>
      <c r="E321" s="209">
        <f t="shared" si="31"/>
        <v>187517.79999999996</v>
      </c>
      <c r="F321" s="209">
        <f t="shared" si="32"/>
        <v>36888.840000000004</v>
      </c>
      <c r="G321" s="209">
        <f t="shared" si="33"/>
        <v>150628.95999999996</v>
      </c>
      <c r="H321" s="209">
        <f t="shared" si="34"/>
        <v>169073.37999999995</v>
      </c>
      <c r="I321" s="89"/>
      <c r="J321" s="900"/>
    </row>
    <row r="322" spans="1:10" ht="25.5" hidden="1" outlineLevel="1">
      <c r="A322" s="212" t="s">
        <v>347</v>
      </c>
      <c r="B322" s="105">
        <v>371962</v>
      </c>
      <c r="C322" s="209">
        <v>224406.63999999996</v>
      </c>
      <c r="D322" s="209">
        <v>36888.840000000004</v>
      </c>
      <c r="E322" s="209">
        <f t="shared" si="31"/>
        <v>187517.79999999996</v>
      </c>
      <c r="F322" s="209">
        <f t="shared" si="32"/>
        <v>36888.840000000004</v>
      </c>
      <c r="G322" s="209">
        <f t="shared" si="33"/>
        <v>150628.95999999996</v>
      </c>
      <c r="H322" s="209">
        <f t="shared" si="34"/>
        <v>169073.37999999995</v>
      </c>
      <c r="I322" s="89"/>
      <c r="J322" s="900"/>
    </row>
    <row r="323" spans="1:10" ht="25.5" hidden="1" outlineLevel="1">
      <c r="A323" s="212" t="s">
        <v>348</v>
      </c>
      <c r="B323" s="105">
        <v>371962</v>
      </c>
      <c r="C323" s="209">
        <v>224406.63999999996</v>
      </c>
      <c r="D323" s="209">
        <v>36888.840000000004</v>
      </c>
      <c r="E323" s="209">
        <f t="shared" si="31"/>
        <v>187517.79999999996</v>
      </c>
      <c r="F323" s="209">
        <f t="shared" si="32"/>
        <v>36888.840000000004</v>
      </c>
      <c r="G323" s="209">
        <f t="shared" si="33"/>
        <v>150628.95999999996</v>
      </c>
      <c r="H323" s="209">
        <f t="shared" si="34"/>
        <v>169073.37999999995</v>
      </c>
      <c r="I323" s="89"/>
      <c r="J323" s="900"/>
    </row>
    <row r="324" spans="1:10" ht="25.5" hidden="1" outlineLevel="1">
      <c r="A324" s="212" t="s">
        <v>349</v>
      </c>
      <c r="B324" s="105">
        <v>371962</v>
      </c>
      <c r="C324" s="209">
        <v>224406.63999999996</v>
      </c>
      <c r="D324" s="209">
        <v>36888.840000000004</v>
      </c>
      <c r="E324" s="209">
        <f t="shared" si="31"/>
        <v>187517.79999999996</v>
      </c>
      <c r="F324" s="209">
        <f t="shared" si="32"/>
        <v>36888.840000000004</v>
      </c>
      <c r="G324" s="209">
        <f t="shared" si="33"/>
        <v>150628.95999999996</v>
      </c>
      <c r="H324" s="209">
        <f t="shared" si="34"/>
        <v>169073.37999999995</v>
      </c>
      <c r="I324" s="89"/>
      <c r="J324" s="900"/>
    </row>
    <row r="325" spans="1:10" ht="25.5" hidden="1" outlineLevel="1">
      <c r="A325" s="212" t="s">
        <v>350</v>
      </c>
      <c r="B325" s="105">
        <v>371962</v>
      </c>
      <c r="C325" s="209">
        <v>224406.63999999996</v>
      </c>
      <c r="D325" s="209">
        <v>36888.840000000004</v>
      </c>
      <c r="E325" s="209">
        <f t="shared" si="31"/>
        <v>187517.79999999996</v>
      </c>
      <c r="F325" s="209">
        <f t="shared" si="32"/>
        <v>36888.840000000004</v>
      </c>
      <c r="G325" s="209">
        <f t="shared" si="33"/>
        <v>150628.95999999996</v>
      </c>
      <c r="H325" s="209">
        <f t="shared" si="34"/>
        <v>169073.37999999995</v>
      </c>
      <c r="I325" s="89"/>
      <c r="J325" s="900"/>
    </row>
    <row r="326" spans="1:10" ht="25.5" hidden="1" outlineLevel="1">
      <c r="A326" s="212" t="s">
        <v>351</v>
      </c>
      <c r="B326" s="105">
        <v>371962</v>
      </c>
      <c r="C326" s="209">
        <v>224406.63999999996</v>
      </c>
      <c r="D326" s="209">
        <v>36888.840000000004</v>
      </c>
      <c r="E326" s="209">
        <f t="shared" si="31"/>
        <v>187517.79999999996</v>
      </c>
      <c r="F326" s="209">
        <f t="shared" si="32"/>
        <v>36888.840000000004</v>
      </c>
      <c r="G326" s="209">
        <f t="shared" si="33"/>
        <v>150628.95999999996</v>
      </c>
      <c r="H326" s="209">
        <f t="shared" si="34"/>
        <v>169073.37999999995</v>
      </c>
      <c r="I326" s="89"/>
      <c r="J326" s="900"/>
    </row>
    <row r="327" spans="1:10" ht="25.5" hidden="1" outlineLevel="1">
      <c r="A327" s="212" t="s">
        <v>352</v>
      </c>
      <c r="B327" s="105">
        <v>371962</v>
      </c>
      <c r="C327" s="209">
        <v>224406.63999999996</v>
      </c>
      <c r="D327" s="209">
        <v>36888.840000000004</v>
      </c>
      <c r="E327" s="209">
        <f t="shared" si="31"/>
        <v>187517.79999999996</v>
      </c>
      <c r="F327" s="209">
        <f t="shared" si="32"/>
        <v>36888.840000000004</v>
      </c>
      <c r="G327" s="209">
        <f t="shared" si="33"/>
        <v>150628.95999999996</v>
      </c>
      <c r="H327" s="209">
        <f t="shared" si="34"/>
        <v>169073.37999999995</v>
      </c>
      <c r="I327" s="89"/>
      <c r="J327" s="900"/>
    </row>
    <row r="328" spans="1:10" ht="25.5" hidden="1" outlineLevel="1">
      <c r="A328" s="212" t="s">
        <v>353</v>
      </c>
      <c r="B328" s="105">
        <v>371962</v>
      </c>
      <c r="C328" s="209">
        <v>224406.63999999996</v>
      </c>
      <c r="D328" s="209">
        <v>36888.840000000004</v>
      </c>
      <c r="E328" s="209">
        <f t="shared" si="31"/>
        <v>187517.79999999996</v>
      </c>
      <c r="F328" s="209">
        <f t="shared" si="32"/>
        <v>36888.840000000004</v>
      </c>
      <c r="G328" s="209">
        <f t="shared" si="33"/>
        <v>150628.95999999996</v>
      </c>
      <c r="H328" s="209">
        <f t="shared" si="34"/>
        <v>169073.37999999995</v>
      </c>
      <c r="I328" s="89"/>
      <c r="J328" s="900"/>
    </row>
    <row r="329" spans="1:10" ht="25.5" hidden="1" outlineLevel="1">
      <c r="A329" s="212" t="s">
        <v>354</v>
      </c>
      <c r="B329" s="105">
        <v>371962</v>
      </c>
      <c r="C329" s="209">
        <v>224406.63999999996</v>
      </c>
      <c r="D329" s="209">
        <v>36888.840000000004</v>
      </c>
      <c r="E329" s="209">
        <f t="shared" si="31"/>
        <v>187517.79999999996</v>
      </c>
      <c r="F329" s="209">
        <f t="shared" si="32"/>
        <v>36888.840000000004</v>
      </c>
      <c r="G329" s="209">
        <f t="shared" si="33"/>
        <v>150628.95999999996</v>
      </c>
      <c r="H329" s="209">
        <f t="shared" si="34"/>
        <v>169073.37999999995</v>
      </c>
      <c r="I329" s="89"/>
      <c r="J329" s="900"/>
    </row>
    <row r="330" spans="1:10" ht="25.5" hidden="1" outlineLevel="1">
      <c r="A330" s="212" t="s">
        <v>355</v>
      </c>
      <c r="B330" s="105">
        <v>371962</v>
      </c>
      <c r="C330" s="209">
        <v>224406.63999999996</v>
      </c>
      <c r="D330" s="209">
        <v>36888.840000000004</v>
      </c>
      <c r="E330" s="209">
        <f t="shared" si="31"/>
        <v>187517.79999999996</v>
      </c>
      <c r="F330" s="209">
        <f t="shared" si="32"/>
        <v>36888.840000000004</v>
      </c>
      <c r="G330" s="209">
        <f t="shared" si="33"/>
        <v>150628.95999999996</v>
      </c>
      <c r="H330" s="209">
        <f t="shared" si="34"/>
        <v>169073.37999999995</v>
      </c>
      <c r="I330" s="89"/>
      <c r="J330" s="900"/>
    </row>
    <row r="331" spans="1:10" ht="12.75" hidden="1" outlineLevel="1">
      <c r="A331" s="212" t="s">
        <v>356</v>
      </c>
      <c r="B331" s="105">
        <f>40001</f>
        <v>40001</v>
      </c>
      <c r="C331" s="209">
        <v>31778.489999999994</v>
      </c>
      <c r="D331" s="209">
        <v>2666.7599999999998</v>
      </c>
      <c r="E331" s="209">
        <f t="shared" si="31"/>
        <v>29111.729999999996</v>
      </c>
      <c r="F331" s="209">
        <f t="shared" si="32"/>
        <v>2666.7599999999998</v>
      </c>
      <c r="G331" s="209">
        <f t="shared" si="33"/>
        <v>26444.969999999998</v>
      </c>
      <c r="H331" s="209">
        <f t="shared" si="34"/>
        <v>27778.35</v>
      </c>
      <c r="I331" s="89"/>
      <c r="J331" s="900"/>
    </row>
    <row r="332" spans="1:10" ht="12.75" hidden="1" outlineLevel="1">
      <c r="A332" s="212" t="s">
        <v>357</v>
      </c>
      <c r="B332" s="105">
        <f>40001</f>
        <v>40001</v>
      </c>
      <c r="C332" s="209">
        <v>31778.489999999994</v>
      </c>
      <c r="D332" s="209">
        <v>2666.7599999999998</v>
      </c>
      <c r="E332" s="209">
        <f t="shared" si="31"/>
        <v>29111.729999999996</v>
      </c>
      <c r="F332" s="209">
        <f t="shared" si="32"/>
        <v>2666.7599999999998</v>
      </c>
      <c r="G332" s="209">
        <f t="shared" si="33"/>
        <v>26444.969999999998</v>
      </c>
      <c r="H332" s="209">
        <f t="shared" si="34"/>
        <v>27778.35</v>
      </c>
      <c r="I332" s="89"/>
      <c r="J332" s="900"/>
    </row>
    <row r="333" spans="1:10" ht="12.75" hidden="1" outlineLevel="1">
      <c r="A333" s="212" t="s">
        <v>358</v>
      </c>
      <c r="B333" s="105">
        <f>40001</f>
        <v>40001</v>
      </c>
      <c r="C333" s="209">
        <v>31778.489999999994</v>
      </c>
      <c r="D333" s="209">
        <v>2666.7599999999998</v>
      </c>
      <c r="E333" s="209">
        <f t="shared" si="31"/>
        <v>29111.729999999996</v>
      </c>
      <c r="F333" s="209">
        <f t="shared" si="32"/>
        <v>2666.7599999999998</v>
      </c>
      <c r="G333" s="209">
        <f t="shared" si="33"/>
        <v>26444.969999999998</v>
      </c>
      <c r="H333" s="209">
        <f t="shared" si="34"/>
        <v>27778.35</v>
      </c>
      <c r="I333" s="89"/>
      <c r="J333" s="900"/>
    </row>
    <row r="334" spans="1:10" ht="12.75" hidden="1" outlineLevel="1">
      <c r="A334" s="212" t="s">
        <v>359</v>
      </c>
      <c r="B334" s="105">
        <f>40001</f>
        <v>40001</v>
      </c>
      <c r="C334" s="209">
        <v>31778.489999999994</v>
      </c>
      <c r="D334" s="209">
        <v>2666.7599999999998</v>
      </c>
      <c r="E334" s="209">
        <f t="shared" si="31"/>
        <v>29111.729999999996</v>
      </c>
      <c r="F334" s="209">
        <f t="shared" si="32"/>
        <v>2666.7599999999998</v>
      </c>
      <c r="G334" s="209">
        <f t="shared" si="33"/>
        <v>26444.969999999998</v>
      </c>
      <c r="H334" s="209">
        <f t="shared" si="34"/>
        <v>27778.35</v>
      </c>
      <c r="I334" s="89"/>
      <c r="J334" s="900"/>
    </row>
    <row r="335" spans="1:10" ht="12.75" hidden="1" outlineLevel="1">
      <c r="A335" s="212" t="s">
        <v>360</v>
      </c>
      <c r="B335" s="105">
        <f>40001</f>
        <v>40001</v>
      </c>
      <c r="C335" s="209">
        <v>31778.489999999994</v>
      </c>
      <c r="D335" s="209">
        <v>2666.7599999999998</v>
      </c>
      <c r="E335" s="209">
        <f t="shared" si="31"/>
        <v>29111.729999999996</v>
      </c>
      <c r="F335" s="209">
        <f t="shared" si="32"/>
        <v>2666.7599999999998</v>
      </c>
      <c r="G335" s="209">
        <f t="shared" si="33"/>
        <v>26444.969999999998</v>
      </c>
      <c r="H335" s="209">
        <f t="shared" si="34"/>
        <v>27778.35</v>
      </c>
      <c r="I335" s="89"/>
      <c r="J335" s="900"/>
    </row>
    <row r="336" spans="1:10" ht="12.75" hidden="1" outlineLevel="1">
      <c r="A336" s="212" t="s">
        <v>361</v>
      </c>
      <c r="B336" s="105">
        <f>40001</f>
        <v>40001</v>
      </c>
      <c r="C336" s="209">
        <v>31778.489999999994</v>
      </c>
      <c r="D336" s="209">
        <v>2666.7599999999998</v>
      </c>
      <c r="E336" s="209">
        <f t="shared" si="31"/>
        <v>29111.729999999996</v>
      </c>
      <c r="F336" s="209">
        <f t="shared" si="32"/>
        <v>2666.7599999999998</v>
      </c>
      <c r="G336" s="209">
        <f t="shared" si="33"/>
        <v>26444.969999999998</v>
      </c>
      <c r="H336" s="209">
        <f t="shared" si="34"/>
        <v>27778.35</v>
      </c>
      <c r="I336" s="89"/>
      <c r="J336" s="900"/>
    </row>
    <row r="337" spans="1:10" ht="12.75" hidden="1" outlineLevel="1">
      <c r="A337" s="212" t="s">
        <v>362</v>
      </c>
      <c r="B337" s="105">
        <f>40001</f>
        <v>40001</v>
      </c>
      <c r="C337" s="209">
        <v>31778.489999999994</v>
      </c>
      <c r="D337" s="209">
        <v>2666.7599999999998</v>
      </c>
      <c r="E337" s="209">
        <f aca="true" t="shared" si="35" ref="E337:E389">C337-D337</f>
        <v>29111.729999999996</v>
      </c>
      <c r="F337" s="209">
        <f t="shared" si="32"/>
        <v>2666.7599999999998</v>
      </c>
      <c r="G337" s="209">
        <f t="shared" si="33"/>
        <v>26444.969999999998</v>
      </c>
      <c r="H337" s="209">
        <f t="shared" si="34"/>
        <v>27778.35</v>
      </c>
      <c r="I337" s="89"/>
      <c r="J337" s="900"/>
    </row>
    <row r="338" spans="1:10" ht="12.75" hidden="1" outlineLevel="1">
      <c r="A338" s="212" t="s">
        <v>363</v>
      </c>
      <c r="B338" s="105">
        <f>40001</f>
        <v>40001</v>
      </c>
      <c r="C338" s="209">
        <v>31778.489999999994</v>
      </c>
      <c r="D338" s="209">
        <v>2666.7599999999998</v>
      </c>
      <c r="E338" s="209">
        <f t="shared" si="35"/>
        <v>29111.729999999996</v>
      </c>
      <c r="F338" s="209">
        <f t="shared" si="32"/>
        <v>2666.7599999999998</v>
      </c>
      <c r="G338" s="209">
        <f t="shared" si="33"/>
        <v>26444.969999999998</v>
      </c>
      <c r="H338" s="209">
        <f t="shared" si="34"/>
        <v>27778.35</v>
      </c>
      <c r="I338" s="89"/>
      <c r="J338" s="900"/>
    </row>
    <row r="339" spans="1:10" ht="12.75" hidden="1" outlineLevel="1">
      <c r="A339" s="212" t="s">
        <v>364</v>
      </c>
      <c r="B339" s="105">
        <f>40001</f>
        <v>40001</v>
      </c>
      <c r="C339" s="209">
        <v>31778.489999999994</v>
      </c>
      <c r="D339" s="209">
        <v>2666.7599999999998</v>
      </c>
      <c r="E339" s="209">
        <f t="shared" si="35"/>
        <v>29111.729999999996</v>
      </c>
      <c r="F339" s="209">
        <f t="shared" si="32"/>
        <v>2666.7599999999998</v>
      </c>
      <c r="G339" s="209">
        <f t="shared" si="33"/>
        <v>26444.969999999998</v>
      </c>
      <c r="H339" s="209">
        <f t="shared" si="34"/>
        <v>27778.35</v>
      </c>
      <c r="I339" s="89"/>
      <c r="J339" s="900"/>
    </row>
    <row r="340" spans="1:10" ht="12.75" hidden="1" outlineLevel="1">
      <c r="A340" s="212" t="s">
        <v>365</v>
      </c>
      <c r="B340" s="105">
        <f>40001</f>
        <v>40001</v>
      </c>
      <c r="C340" s="209">
        <v>31778.489999999994</v>
      </c>
      <c r="D340" s="209">
        <v>2666.7599999999998</v>
      </c>
      <c r="E340" s="209">
        <f t="shared" si="35"/>
        <v>29111.729999999996</v>
      </c>
      <c r="F340" s="209">
        <f aca="true" t="shared" si="36" ref="F340:F392">IF(D340&lt;=E340,D340,E340)</f>
        <v>2666.7599999999998</v>
      </c>
      <c r="G340" s="209">
        <f aca="true" t="shared" si="37" ref="G340:G392">E340-F340</f>
        <v>26444.969999999998</v>
      </c>
      <c r="H340" s="209">
        <f aca="true" t="shared" si="38" ref="H340:H392">(E340+G340)/2</f>
        <v>27778.35</v>
      </c>
      <c r="I340" s="89"/>
      <c r="J340" s="900"/>
    </row>
    <row r="341" spans="1:10" ht="12.75" hidden="1" outlineLevel="1">
      <c r="A341" s="212" t="s">
        <v>366</v>
      </c>
      <c r="B341" s="105">
        <f>40001</f>
        <v>40001</v>
      </c>
      <c r="C341" s="209">
        <v>31778.489999999994</v>
      </c>
      <c r="D341" s="209">
        <v>2666.7599999999998</v>
      </c>
      <c r="E341" s="209">
        <f t="shared" si="35"/>
        <v>29111.729999999996</v>
      </c>
      <c r="F341" s="209">
        <f t="shared" si="36"/>
        <v>2666.7599999999998</v>
      </c>
      <c r="G341" s="209">
        <f t="shared" si="37"/>
        <v>26444.969999999998</v>
      </c>
      <c r="H341" s="209">
        <f t="shared" si="38"/>
        <v>27778.35</v>
      </c>
      <c r="I341" s="89"/>
      <c r="J341" s="900"/>
    </row>
    <row r="342" spans="1:10" ht="12.75" hidden="1" outlineLevel="1">
      <c r="A342" s="212" t="s">
        <v>367</v>
      </c>
      <c r="B342" s="105">
        <f>40001</f>
        <v>40001</v>
      </c>
      <c r="C342" s="209">
        <v>31778.489999999994</v>
      </c>
      <c r="D342" s="209">
        <v>2666.7599999999998</v>
      </c>
      <c r="E342" s="209">
        <f t="shared" si="35"/>
        <v>29111.729999999996</v>
      </c>
      <c r="F342" s="209">
        <f t="shared" si="36"/>
        <v>2666.7599999999998</v>
      </c>
      <c r="G342" s="209">
        <f t="shared" si="37"/>
        <v>26444.969999999998</v>
      </c>
      <c r="H342" s="209">
        <f t="shared" si="38"/>
        <v>27778.35</v>
      </c>
      <c r="I342" s="89"/>
      <c r="J342" s="900"/>
    </row>
    <row r="343" spans="1:10" ht="12.75" hidden="1" outlineLevel="1">
      <c r="A343" s="212" t="s">
        <v>368</v>
      </c>
      <c r="B343" s="105">
        <f>40001</f>
        <v>40001</v>
      </c>
      <c r="C343" s="209">
        <v>31778.489999999994</v>
      </c>
      <c r="D343" s="209">
        <v>2666.7599999999998</v>
      </c>
      <c r="E343" s="209">
        <f t="shared" si="35"/>
        <v>29111.729999999996</v>
      </c>
      <c r="F343" s="209">
        <f t="shared" si="36"/>
        <v>2666.7599999999998</v>
      </c>
      <c r="G343" s="209">
        <f t="shared" si="37"/>
        <v>26444.969999999998</v>
      </c>
      <c r="H343" s="209">
        <f t="shared" si="38"/>
        <v>27778.35</v>
      </c>
      <c r="I343" s="89"/>
      <c r="J343" s="900"/>
    </row>
    <row r="344" spans="1:10" ht="12.75" hidden="1" outlineLevel="1">
      <c r="A344" s="212" t="s">
        <v>369</v>
      </c>
      <c r="B344" s="105">
        <f>40001</f>
        <v>40001</v>
      </c>
      <c r="C344" s="209">
        <v>31778.489999999994</v>
      </c>
      <c r="D344" s="209">
        <v>2666.7599999999998</v>
      </c>
      <c r="E344" s="209">
        <f t="shared" si="35"/>
        <v>29111.729999999996</v>
      </c>
      <c r="F344" s="209">
        <f t="shared" si="36"/>
        <v>2666.7599999999998</v>
      </c>
      <c r="G344" s="209">
        <f t="shared" si="37"/>
        <v>26444.969999999998</v>
      </c>
      <c r="H344" s="209">
        <f t="shared" si="38"/>
        <v>27778.35</v>
      </c>
      <c r="I344" s="89"/>
      <c r="J344" s="900"/>
    </row>
    <row r="345" spans="1:10" ht="12.75" hidden="1" outlineLevel="1">
      <c r="A345" s="212" t="s">
        <v>370</v>
      </c>
      <c r="B345" s="105">
        <f>40001</f>
        <v>40001</v>
      </c>
      <c r="C345" s="209">
        <v>31778.489999999994</v>
      </c>
      <c r="D345" s="209">
        <v>2666.7599999999998</v>
      </c>
      <c r="E345" s="209">
        <f t="shared" si="35"/>
        <v>29111.729999999996</v>
      </c>
      <c r="F345" s="209">
        <f t="shared" si="36"/>
        <v>2666.7599999999998</v>
      </c>
      <c r="G345" s="209">
        <f t="shared" si="37"/>
        <v>26444.969999999998</v>
      </c>
      <c r="H345" s="209">
        <f t="shared" si="38"/>
        <v>27778.35</v>
      </c>
      <c r="I345" s="89"/>
      <c r="J345" s="900"/>
    </row>
    <row r="346" spans="1:10" ht="12.75" hidden="1" outlineLevel="1">
      <c r="A346" s="212" t="s">
        <v>374</v>
      </c>
      <c r="B346" s="105">
        <f>40001</f>
        <v>40001</v>
      </c>
      <c r="C346" s="209">
        <v>31778.489999999994</v>
      </c>
      <c r="D346" s="209">
        <v>2666.7599999999998</v>
      </c>
      <c r="E346" s="209">
        <f t="shared" si="35"/>
        <v>29111.729999999996</v>
      </c>
      <c r="F346" s="209">
        <f t="shared" si="36"/>
        <v>2666.7599999999998</v>
      </c>
      <c r="G346" s="209">
        <f t="shared" si="37"/>
        <v>26444.969999999998</v>
      </c>
      <c r="H346" s="209">
        <f t="shared" si="38"/>
        <v>27778.35</v>
      </c>
      <c r="I346" s="89"/>
      <c r="J346" s="900"/>
    </row>
    <row r="347" spans="1:10" ht="12.75" hidden="1" outlineLevel="1">
      <c r="A347" s="212" t="s">
        <v>375</v>
      </c>
      <c r="B347" s="105">
        <f>40001</f>
        <v>40001</v>
      </c>
      <c r="C347" s="209">
        <v>31778.489999999994</v>
      </c>
      <c r="D347" s="209">
        <v>2666.7599999999998</v>
      </c>
      <c r="E347" s="209">
        <f t="shared" si="35"/>
        <v>29111.729999999996</v>
      </c>
      <c r="F347" s="209">
        <f t="shared" si="36"/>
        <v>2666.7599999999998</v>
      </c>
      <c r="G347" s="209">
        <f t="shared" si="37"/>
        <v>26444.969999999998</v>
      </c>
      <c r="H347" s="209">
        <f t="shared" si="38"/>
        <v>27778.35</v>
      </c>
      <c r="I347" s="89"/>
      <c r="J347" s="900"/>
    </row>
    <row r="348" spans="1:10" ht="12.75" hidden="1" outlineLevel="1">
      <c r="A348" s="212" t="s">
        <v>376</v>
      </c>
      <c r="B348" s="105">
        <f>40001</f>
        <v>40001</v>
      </c>
      <c r="C348" s="209">
        <v>31778.489999999994</v>
      </c>
      <c r="D348" s="209">
        <v>2666.7599999999998</v>
      </c>
      <c r="E348" s="209">
        <f t="shared" si="35"/>
        <v>29111.729999999996</v>
      </c>
      <c r="F348" s="209">
        <f t="shared" si="36"/>
        <v>2666.7599999999998</v>
      </c>
      <c r="G348" s="209">
        <f t="shared" si="37"/>
        <v>26444.969999999998</v>
      </c>
      <c r="H348" s="209">
        <f t="shared" si="38"/>
        <v>27778.35</v>
      </c>
      <c r="I348" s="89"/>
      <c r="J348" s="900"/>
    </row>
    <row r="349" spans="1:10" ht="12.75" hidden="1" outlineLevel="1">
      <c r="A349" s="212" t="s">
        <v>377</v>
      </c>
      <c r="B349" s="105">
        <f>40001</f>
        <v>40001</v>
      </c>
      <c r="C349" s="209">
        <v>31778.489999999994</v>
      </c>
      <c r="D349" s="209">
        <v>2666.7599999999998</v>
      </c>
      <c r="E349" s="209">
        <f t="shared" si="35"/>
        <v>29111.729999999996</v>
      </c>
      <c r="F349" s="209">
        <f t="shared" si="36"/>
        <v>2666.7599999999998</v>
      </c>
      <c r="G349" s="209">
        <f t="shared" si="37"/>
        <v>26444.969999999998</v>
      </c>
      <c r="H349" s="209">
        <f t="shared" si="38"/>
        <v>27778.35</v>
      </c>
      <c r="I349" s="89"/>
      <c r="J349" s="900"/>
    </row>
    <row r="350" spans="1:10" ht="12.75" hidden="1" outlineLevel="1">
      <c r="A350" s="212" t="s">
        <v>378</v>
      </c>
      <c r="B350" s="105">
        <f>40001</f>
        <v>40001</v>
      </c>
      <c r="C350" s="209">
        <v>31778.489999999994</v>
      </c>
      <c r="D350" s="209">
        <v>2666.7599999999998</v>
      </c>
      <c r="E350" s="209">
        <f t="shared" si="35"/>
        <v>29111.729999999996</v>
      </c>
      <c r="F350" s="209">
        <f t="shared" si="36"/>
        <v>2666.7599999999998</v>
      </c>
      <c r="G350" s="209">
        <f t="shared" si="37"/>
        <v>26444.969999999998</v>
      </c>
      <c r="H350" s="209">
        <f t="shared" si="38"/>
        <v>27778.35</v>
      </c>
      <c r="I350" s="89"/>
      <c r="J350" s="900"/>
    </row>
    <row r="351" spans="1:10" ht="12.75" hidden="1" outlineLevel="1">
      <c r="A351" s="212" t="s">
        <v>379</v>
      </c>
      <c r="B351" s="105">
        <f>40001</f>
        <v>40001</v>
      </c>
      <c r="C351" s="209">
        <v>31778.489999999994</v>
      </c>
      <c r="D351" s="209">
        <v>2666.7599999999998</v>
      </c>
      <c r="E351" s="209">
        <f t="shared" si="35"/>
        <v>29111.729999999996</v>
      </c>
      <c r="F351" s="209">
        <f t="shared" si="36"/>
        <v>2666.7599999999998</v>
      </c>
      <c r="G351" s="209">
        <f t="shared" si="37"/>
        <v>26444.969999999998</v>
      </c>
      <c r="H351" s="209">
        <f t="shared" si="38"/>
        <v>27778.35</v>
      </c>
      <c r="I351" s="89"/>
      <c r="J351" s="900"/>
    </row>
    <row r="352" spans="1:10" ht="12.75" hidden="1" outlineLevel="1">
      <c r="A352" s="212" t="s">
        <v>380</v>
      </c>
      <c r="B352" s="105">
        <f>40001</f>
        <v>40001</v>
      </c>
      <c r="C352" s="209">
        <v>31778.489999999994</v>
      </c>
      <c r="D352" s="209">
        <v>2666.7599999999998</v>
      </c>
      <c r="E352" s="209">
        <f t="shared" si="35"/>
        <v>29111.729999999996</v>
      </c>
      <c r="F352" s="209">
        <f t="shared" si="36"/>
        <v>2666.7599999999998</v>
      </c>
      <c r="G352" s="209">
        <f t="shared" si="37"/>
        <v>26444.969999999998</v>
      </c>
      <c r="H352" s="209">
        <f t="shared" si="38"/>
        <v>27778.35</v>
      </c>
      <c r="I352" s="89"/>
      <c r="J352" s="900"/>
    </row>
    <row r="353" spans="1:10" ht="12.75" hidden="1" outlineLevel="1">
      <c r="A353" s="212" t="s">
        <v>381</v>
      </c>
      <c r="B353" s="105">
        <f>40001</f>
        <v>40001</v>
      </c>
      <c r="C353" s="209">
        <v>31778.489999999994</v>
      </c>
      <c r="D353" s="209">
        <v>2666.7599999999998</v>
      </c>
      <c r="E353" s="209">
        <f t="shared" si="35"/>
        <v>29111.729999999996</v>
      </c>
      <c r="F353" s="209">
        <f t="shared" si="36"/>
        <v>2666.7599999999998</v>
      </c>
      <c r="G353" s="209">
        <f t="shared" si="37"/>
        <v>26444.969999999998</v>
      </c>
      <c r="H353" s="209">
        <f t="shared" si="38"/>
        <v>27778.35</v>
      </c>
      <c r="I353" s="89"/>
      <c r="J353" s="900"/>
    </row>
    <row r="354" spans="1:10" ht="12.75" hidden="1" outlineLevel="1">
      <c r="A354" s="212" t="s">
        <v>382</v>
      </c>
      <c r="B354" s="105">
        <f>40001</f>
        <v>40001</v>
      </c>
      <c r="C354" s="209">
        <v>31778.489999999994</v>
      </c>
      <c r="D354" s="209">
        <v>2666.7599999999998</v>
      </c>
      <c r="E354" s="209">
        <f t="shared" si="35"/>
        <v>29111.729999999996</v>
      </c>
      <c r="F354" s="209">
        <f t="shared" si="36"/>
        <v>2666.7599999999998</v>
      </c>
      <c r="G354" s="209">
        <f t="shared" si="37"/>
        <v>26444.969999999998</v>
      </c>
      <c r="H354" s="209">
        <f t="shared" si="38"/>
        <v>27778.35</v>
      </c>
      <c r="I354" s="89"/>
      <c r="J354" s="900"/>
    </row>
    <row r="355" spans="1:10" ht="12.75" hidden="1" outlineLevel="1">
      <c r="A355" s="212" t="s">
        <v>383</v>
      </c>
      <c r="B355" s="105">
        <f>40001</f>
        <v>40001</v>
      </c>
      <c r="C355" s="209">
        <v>31778.489999999994</v>
      </c>
      <c r="D355" s="209">
        <v>2666.7599999999998</v>
      </c>
      <c r="E355" s="209">
        <f t="shared" si="35"/>
        <v>29111.729999999996</v>
      </c>
      <c r="F355" s="209">
        <f t="shared" si="36"/>
        <v>2666.7599999999998</v>
      </c>
      <c r="G355" s="209">
        <f t="shared" si="37"/>
        <v>26444.969999999998</v>
      </c>
      <c r="H355" s="209">
        <f t="shared" si="38"/>
        <v>27778.35</v>
      </c>
      <c r="I355" s="89"/>
      <c r="J355" s="900"/>
    </row>
    <row r="356" spans="1:10" ht="12.75" hidden="1" outlineLevel="1">
      <c r="A356" s="212" t="s">
        <v>384</v>
      </c>
      <c r="B356" s="105">
        <f>40001</f>
        <v>40001</v>
      </c>
      <c r="C356" s="209">
        <v>31778.489999999994</v>
      </c>
      <c r="D356" s="209">
        <v>2666.7599999999998</v>
      </c>
      <c r="E356" s="209">
        <f t="shared" si="35"/>
        <v>29111.729999999996</v>
      </c>
      <c r="F356" s="209">
        <f t="shared" si="36"/>
        <v>2666.7599999999998</v>
      </c>
      <c r="G356" s="209">
        <f t="shared" si="37"/>
        <v>26444.969999999998</v>
      </c>
      <c r="H356" s="209">
        <f t="shared" si="38"/>
        <v>27778.35</v>
      </c>
      <c r="I356" s="89"/>
      <c r="J356" s="900"/>
    </row>
    <row r="357" spans="1:10" ht="12.75" hidden="1" outlineLevel="1">
      <c r="A357" s="212" t="s">
        <v>385</v>
      </c>
      <c r="B357" s="105">
        <f>40001</f>
        <v>40001</v>
      </c>
      <c r="C357" s="209">
        <v>31778.489999999994</v>
      </c>
      <c r="D357" s="209">
        <v>2666.7599999999998</v>
      </c>
      <c r="E357" s="209">
        <f t="shared" si="35"/>
        <v>29111.729999999996</v>
      </c>
      <c r="F357" s="209">
        <f t="shared" si="36"/>
        <v>2666.7599999999998</v>
      </c>
      <c r="G357" s="209">
        <f t="shared" si="37"/>
        <v>26444.969999999998</v>
      </c>
      <c r="H357" s="209">
        <f t="shared" si="38"/>
        <v>27778.35</v>
      </c>
      <c r="I357" s="89"/>
      <c r="J357" s="900"/>
    </row>
    <row r="358" spans="1:10" ht="12.75" hidden="1" outlineLevel="1">
      <c r="A358" s="212" t="s">
        <v>386</v>
      </c>
      <c r="B358" s="105">
        <f>40001</f>
        <v>40001</v>
      </c>
      <c r="C358" s="209">
        <v>31778.489999999994</v>
      </c>
      <c r="D358" s="209">
        <v>2666.7599999999998</v>
      </c>
      <c r="E358" s="209">
        <f t="shared" si="35"/>
        <v>29111.729999999996</v>
      </c>
      <c r="F358" s="209">
        <f t="shared" si="36"/>
        <v>2666.7599999999998</v>
      </c>
      <c r="G358" s="209">
        <f t="shared" si="37"/>
        <v>26444.969999999998</v>
      </c>
      <c r="H358" s="209">
        <f t="shared" si="38"/>
        <v>27778.35</v>
      </c>
      <c r="I358" s="89"/>
      <c r="J358" s="900"/>
    </row>
    <row r="359" spans="1:10" ht="12.75" hidden="1" outlineLevel="1">
      <c r="A359" s="212" t="s">
        <v>387</v>
      </c>
      <c r="B359" s="105">
        <f>40001</f>
        <v>40001</v>
      </c>
      <c r="C359" s="209">
        <v>31778.489999999994</v>
      </c>
      <c r="D359" s="209">
        <v>2666.7599999999998</v>
      </c>
      <c r="E359" s="209">
        <f t="shared" si="35"/>
        <v>29111.729999999996</v>
      </c>
      <c r="F359" s="209">
        <f t="shared" si="36"/>
        <v>2666.7599999999998</v>
      </c>
      <c r="G359" s="209">
        <f t="shared" si="37"/>
        <v>26444.969999999998</v>
      </c>
      <c r="H359" s="209">
        <f t="shared" si="38"/>
        <v>27778.35</v>
      </c>
      <c r="I359" s="89"/>
      <c r="J359" s="900"/>
    </row>
    <row r="360" spans="1:10" ht="12.75" hidden="1" outlineLevel="1">
      <c r="A360" s="212" t="s">
        <v>388</v>
      </c>
      <c r="B360" s="105">
        <f>40001</f>
        <v>40001</v>
      </c>
      <c r="C360" s="209">
        <v>31778.489999999994</v>
      </c>
      <c r="D360" s="209">
        <v>2666.7599999999998</v>
      </c>
      <c r="E360" s="209">
        <f t="shared" si="35"/>
        <v>29111.729999999996</v>
      </c>
      <c r="F360" s="209">
        <f t="shared" si="36"/>
        <v>2666.7599999999998</v>
      </c>
      <c r="G360" s="209">
        <f t="shared" si="37"/>
        <v>26444.969999999998</v>
      </c>
      <c r="H360" s="209">
        <f t="shared" si="38"/>
        <v>27778.35</v>
      </c>
      <c r="I360" s="89"/>
      <c r="J360" s="900"/>
    </row>
    <row r="361" spans="1:10" ht="12.75" hidden="1" outlineLevel="1">
      <c r="A361" s="212" t="s">
        <v>389</v>
      </c>
      <c r="B361" s="105">
        <f>40001</f>
        <v>40001</v>
      </c>
      <c r="C361" s="209">
        <v>31778.489999999994</v>
      </c>
      <c r="D361" s="209">
        <v>2666.7599999999998</v>
      </c>
      <c r="E361" s="209">
        <f t="shared" si="35"/>
        <v>29111.729999999996</v>
      </c>
      <c r="F361" s="209">
        <f t="shared" si="36"/>
        <v>2666.7599999999998</v>
      </c>
      <c r="G361" s="209">
        <f t="shared" si="37"/>
        <v>26444.969999999998</v>
      </c>
      <c r="H361" s="209">
        <f t="shared" si="38"/>
        <v>27778.35</v>
      </c>
      <c r="I361" s="89"/>
      <c r="J361" s="900"/>
    </row>
    <row r="362" spans="1:10" ht="12.75" hidden="1" outlineLevel="1">
      <c r="A362" s="212" t="s">
        <v>390</v>
      </c>
      <c r="B362" s="105">
        <f>40001</f>
        <v>40001</v>
      </c>
      <c r="C362" s="209">
        <v>31778.489999999994</v>
      </c>
      <c r="D362" s="209">
        <v>2666.7599999999998</v>
      </c>
      <c r="E362" s="209">
        <f t="shared" si="35"/>
        <v>29111.729999999996</v>
      </c>
      <c r="F362" s="209">
        <f t="shared" si="36"/>
        <v>2666.7599999999998</v>
      </c>
      <c r="G362" s="209">
        <f t="shared" si="37"/>
        <v>26444.969999999998</v>
      </c>
      <c r="H362" s="209">
        <f t="shared" si="38"/>
        <v>27778.35</v>
      </c>
      <c r="I362" s="89"/>
      <c r="J362" s="900"/>
    </row>
    <row r="363" spans="1:10" ht="12.75" hidden="1" outlineLevel="1">
      <c r="A363" s="212" t="s">
        <v>391</v>
      </c>
      <c r="B363" s="105">
        <f>40001</f>
        <v>40001</v>
      </c>
      <c r="C363" s="209">
        <v>31778.489999999994</v>
      </c>
      <c r="D363" s="209">
        <v>2666.7599999999998</v>
      </c>
      <c r="E363" s="209">
        <f t="shared" si="35"/>
        <v>29111.729999999996</v>
      </c>
      <c r="F363" s="209">
        <f t="shared" si="36"/>
        <v>2666.7599999999998</v>
      </c>
      <c r="G363" s="209">
        <f t="shared" si="37"/>
        <v>26444.969999999998</v>
      </c>
      <c r="H363" s="209">
        <f t="shared" si="38"/>
        <v>27778.35</v>
      </c>
      <c r="I363" s="89"/>
      <c r="J363" s="900"/>
    </row>
    <row r="364" spans="1:10" ht="12.75" hidden="1" outlineLevel="1">
      <c r="A364" s="212" t="s">
        <v>392</v>
      </c>
      <c r="B364" s="105">
        <f>40001</f>
        <v>40001</v>
      </c>
      <c r="C364" s="209">
        <v>31778.489999999994</v>
      </c>
      <c r="D364" s="209">
        <v>2666.7599999999998</v>
      </c>
      <c r="E364" s="209">
        <f t="shared" si="35"/>
        <v>29111.729999999996</v>
      </c>
      <c r="F364" s="209">
        <f t="shared" si="36"/>
        <v>2666.7599999999998</v>
      </c>
      <c r="G364" s="209">
        <f t="shared" si="37"/>
        <v>26444.969999999998</v>
      </c>
      <c r="H364" s="209">
        <f t="shared" si="38"/>
        <v>27778.35</v>
      </c>
      <c r="I364" s="89"/>
      <c r="J364" s="900"/>
    </row>
    <row r="365" spans="1:10" ht="12.75" hidden="1" outlineLevel="1">
      <c r="A365" s="212" t="s">
        <v>393</v>
      </c>
      <c r="B365" s="105">
        <f>40001</f>
        <v>40001</v>
      </c>
      <c r="C365" s="209">
        <v>31778.489999999994</v>
      </c>
      <c r="D365" s="209">
        <v>2666.7599999999998</v>
      </c>
      <c r="E365" s="209">
        <f t="shared" si="35"/>
        <v>29111.729999999996</v>
      </c>
      <c r="F365" s="209">
        <f t="shared" si="36"/>
        <v>2666.7599999999998</v>
      </c>
      <c r="G365" s="209">
        <f t="shared" si="37"/>
        <v>26444.969999999998</v>
      </c>
      <c r="H365" s="209">
        <f t="shared" si="38"/>
        <v>27778.35</v>
      </c>
      <c r="I365" s="89"/>
      <c r="J365" s="900"/>
    </row>
    <row r="366" spans="1:10" ht="12.75" hidden="1" outlineLevel="1">
      <c r="A366" s="212" t="s">
        <v>394</v>
      </c>
      <c r="B366" s="105">
        <f>40001</f>
        <v>40001</v>
      </c>
      <c r="C366" s="209">
        <v>31778.489999999994</v>
      </c>
      <c r="D366" s="209">
        <v>2666.7599999999998</v>
      </c>
      <c r="E366" s="209">
        <f t="shared" si="35"/>
        <v>29111.729999999996</v>
      </c>
      <c r="F366" s="209">
        <f t="shared" si="36"/>
        <v>2666.7599999999998</v>
      </c>
      <c r="G366" s="209">
        <f t="shared" si="37"/>
        <v>26444.969999999998</v>
      </c>
      <c r="H366" s="209">
        <f t="shared" si="38"/>
        <v>27778.35</v>
      </c>
      <c r="I366" s="89"/>
      <c r="J366" s="900"/>
    </row>
    <row r="367" spans="1:10" ht="12.75" hidden="1" outlineLevel="1">
      <c r="A367" s="212" t="s">
        <v>395</v>
      </c>
      <c r="B367" s="105">
        <f>40001</f>
        <v>40001</v>
      </c>
      <c r="C367" s="209">
        <v>31778.489999999994</v>
      </c>
      <c r="D367" s="209">
        <v>2666.7599999999998</v>
      </c>
      <c r="E367" s="209">
        <f t="shared" si="35"/>
        <v>29111.729999999996</v>
      </c>
      <c r="F367" s="209">
        <f t="shared" si="36"/>
        <v>2666.7599999999998</v>
      </c>
      <c r="G367" s="209">
        <f t="shared" si="37"/>
        <v>26444.969999999998</v>
      </c>
      <c r="H367" s="209">
        <f t="shared" si="38"/>
        <v>27778.35</v>
      </c>
      <c r="I367" s="89"/>
      <c r="J367" s="900"/>
    </row>
    <row r="368" spans="1:10" ht="12.75" hidden="1" outlineLevel="1">
      <c r="A368" s="212" t="s">
        <v>396</v>
      </c>
      <c r="B368" s="105">
        <f>40001</f>
        <v>40001</v>
      </c>
      <c r="C368" s="209">
        <v>31778.489999999994</v>
      </c>
      <c r="D368" s="209">
        <v>2666.7599999999998</v>
      </c>
      <c r="E368" s="209">
        <f t="shared" si="35"/>
        <v>29111.729999999996</v>
      </c>
      <c r="F368" s="209">
        <f t="shared" si="36"/>
        <v>2666.7599999999998</v>
      </c>
      <c r="G368" s="209">
        <f t="shared" si="37"/>
        <v>26444.969999999998</v>
      </c>
      <c r="H368" s="209">
        <f t="shared" si="38"/>
        <v>27778.35</v>
      </c>
      <c r="I368" s="89"/>
      <c r="J368" s="900"/>
    </row>
    <row r="369" spans="1:10" ht="12.75" hidden="1" outlineLevel="1">
      <c r="A369" s="212" t="s">
        <v>397</v>
      </c>
      <c r="B369" s="105">
        <f>40001</f>
        <v>40001</v>
      </c>
      <c r="C369" s="209">
        <v>31778.489999999994</v>
      </c>
      <c r="D369" s="209">
        <v>2666.7599999999998</v>
      </c>
      <c r="E369" s="209">
        <f t="shared" si="35"/>
        <v>29111.729999999996</v>
      </c>
      <c r="F369" s="209">
        <f t="shared" si="36"/>
        <v>2666.7599999999998</v>
      </c>
      <c r="G369" s="209">
        <f t="shared" si="37"/>
        <v>26444.969999999998</v>
      </c>
      <c r="H369" s="209">
        <f t="shared" si="38"/>
        <v>27778.35</v>
      </c>
      <c r="I369" s="89"/>
      <c r="J369" s="900"/>
    </row>
    <row r="370" spans="1:10" ht="12.75" hidden="1" outlineLevel="1">
      <c r="A370" s="212" t="s">
        <v>398</v>
      </c>
      <c r="B370" s="105">
        <f>40001</f>
        <v>40001</v>
      </c>
      <c r="C370" s="209">
        <v>31778.489999999994</v>
      </c>
      <c r="D370" s="209">
        <v>2666.7599999999998</v>
      </c>
      <c r="E370" s="209">
        <f t="shared" si="35"/>
        <v>29111.729999999996</v>
      </c>
      <c r="F370" s="209">
        <f t="shared" si="36"/>
        <v>2666.7599999999998</v>
      </c>
      <c r="G370" s="209">
        <f t="shared" si="37"/>
        <v>26444.969999999998</v>
      </c>
      <c r="H370" s="209">
        <f t="shared" si="38"/>
        <v>27778.35</v>
      </c>
      <c r="I370" s="89"/>
      <c r="J370" s="900"/>
    </row>
    <row r="371" spans="1:10" ht="12.75" hidden="1" outlineLevel="1">
      <c r="A371" s="212" t="s">
        <v>399</v>
      </c>
      <c r="B371" s="105">
        <f>40001</f>
        <v>40001</v>
      </c>
      <c r="C371" s="209">
        <v>31778.489999999994</v>
      </c>
      <c r="D371" s="209">
        <v>2666.7599999999998</v>
      </c>
      <c r="E371" s="209">
        <f t="shared" si="35"/>
        <v>29111.729999999996</v>
      </c>
      <c r="F371" s="209">
        <f t="shared" si="36"/>
        <v>2666.7599999999998</v>
      </c>
      <c r="G371" s="209">
        <f t="shared" si="37"/>
        <v>26444.969999999998</v>
      </c>
      <c r="H371" s="209">
        <f t="shared" si="38"/>
        <v>27778.35</v>
      </c>
      <c r="I371" s="89"/>
      <c r="J371" s="900"/>
    </row>
    <row r="372" spans="1:10" ht="12.75" hidden="1" outlineLevel="1">
      <c r="A372" s="212" t="s">
        <v>400</v>
      </c>
      <c r="B372" s="105">
        <f>40001</f>
        <v>40001</v>
      </c>
      <c r="C372" s="209">
        <v>31778.489999999994</v>
      </c>
      <c r="D372" s="209">
        <v>2666.7599999999998</v>
      </c>
      <c r="E372" s="209">
        <f t="shared" si="35"/>
        <v>29111.729999999996</v>
      </c>
      <c r="F372" s="209">
        <f t="shared" si="36"/>
        <v>2666.7599999999998</v>
      </c>
      <c r="G372" s="209">
        <f t="shared" si="37"/>
        <v>26444.969999999998</v>
      </c>
      <c r="H372" s="209">
        <f t="shared" si="38"/>
        <v>27778.35</v>
      </c>
      <c r="I372" s="89"/>
      <c r="J372" s="900"/>
    </row>
    <row r="373" spans="1:10" ht="12.75" hidden="1" outlineLevel="1">
      <c r="A373" s="212" t="s">
        <v>401</v>
      </c>
      <c r="B373" s="105">
        <f>40001</f>
        <v>40001</v>
      </c>
      <c r="C373" s="209">
        <v>31778.489999999994</v>
      </c>
      <c r="D373" s="209">
        <v>2666.7599999999998</v>
      </c>
      <c r="E373" s="209">
        <f t="shared" si="35"/>
        <v>29111.729999999996</v>
      </c>
      <c r="F373" s="209">
        <f t="shared" si="36"/>
        <v>2666.7599999999998</v>
      </c>
      <c r="G373" s="209">
        <f t="shared" si="37"/>
        <v>26444.969999999998</v>
      </c>
      <c r="H373" s="209">
        <f t="shared" si="38"/>
        <v>27778.35</v>
      </c>
      <c r="I373" s="89"/>
      <c r="J373" s="900"/>
    </row>
    <row r="374" spans="1:10" ht="12.75" hidden="1" outlineLevel="1">
      <c r="A374" s="212" t="s">
        <v>402</v>
      </c>
      <c r="B374" s="105">
        <f>40001</f>
        <v>40001</v>
      </c>
      <c r="C374" s="209">
        <v>31778.489999999994</v>
      </c>
      <c r="D374" s="209">
        <v>2666.7599999999998</v>
      </c>
      <c r="E374" s="209">
        <f t="shared" si="35"/>
        <v>29111.729999999996</v>
      </c>
      <c r="F374" s="209">
        <f t="shared" si="36"/>
        <v>2666.7599999999998</v>
      </c>
      <c r="G374" s="209">
        <f t="shared" si="37"/>
        <v>26444.969999999998</v>
      </c>
      <c r="H374" s="209">
        <f t="shared" si="38"/>
        <v>27778.35</v>
      </c>
      <c r="I374" s="89"/>
      <c r="J374" s="900"/>
    </row>
    <row r="375" spans="1:10" ht="12.75" hidden="1" outlineLevel="1">
      <c r="A375" s="212" t="s">
        <v>403</v>
      </c>
      <c r="B375" s="105">
        <f>40001</f>
        <v>40001</v>
      </c>
      <c r="C375" s="209">
        <v>31778.489999999994</v>
      </c>
      <c r="D375" s="209">
        <v>2666.7599999999998</v>
      </c>
      <c r="E375" s="209">
        <f t="shared" si="35"/>
        <v>29111.729999999996</v>
      </c>
      <c r="F375" s="209">
        <f t="shared" si="36"/>
        <v>2666.7599999999998</v>
      </c>
      <c r="G375" s="209">
        <f t="shared" si="37"/>
        <v>26444.969999999998</v>
      </c>
      <c r="H375" s="209">
        <f t="shared" si="38"/>
        <v>27778.35</v>
      </c>
      <c r="I375" s="89"/>
      <c r="J375" s="900"/>
    </row>
    <row r="376" spans="1:10" ht="12.75" hidden="1" outlineLevel="1">
      <c r="A376" s="212" t="s">
        <v>404</v>
      </c>
      <c r="B376" s="105">
        <f>40001</f>
        <v>40001</v>
      </c>
      <c r="C376" s="209">
        <v>31778.489999999994</v>
      </c>
      <c r="D376" s="209">
        <v>2666.7599999999998</v>
      </c>
      <c r="E376" s="209">
        <f t="shared" si="35"/>
        <v>29111.729999999996</v>
      </c>
      <c r="F376" s="209">
        <f t="shared" si="36"/>
        <v>2666.7599999999998</v>
      </c>
      <c r="G376" s="209">
        <f t="shared" si="37"/>
        <v>26444.969999999998</v>
      </c>
      <c r="H376" s="209">
        <f t="shared" si="38"/>
        <v>27778.35</v>
      </c>
      <c r="I376" s="89"/>
      <c r="J376" s="900"/>
    </row>
    <row r="377" spans="1:10" ht="12.75" hidden="1" outlineLevel="1">
      <c r="A377" s="212" t="s">
        <v>405</v>
      </c>
      <c r="B377" s="105">
        <f>40001</f>
        <v>40001</v>
      </c>
      <c r="C377" s="209">
        <v>31778.489999999994</v>
      </c>
      <c r="D377" s="209">
        <v>2666.7599999999998</v>
      </c>
      <c r="E377" s="209">
        <f t="shared" si="35"/>
        <v>29111.729999999996</v>
      </c>
      <c r="F377" s="209">
        <f t="shared" si="36"/>
        <v>2666.7599999999998</v>
      </c>
      <c r="G377" s="209">
        <f t="shared" si="37"/>
        <v>26444.969999999998</v>
      </c>
      <c r="H377" s="209">
        <f t="shared" si="38"/>
        <v>27778.35</v>
      </c>
      <c r="I377" s="89"/>
      <c r="J377" s="900"/>
    </row>
    <row r="378" spans="1:10" ht="12.75" hidden="1" outlineLevel="1">
      <c r="A378" s="212" t="s">
        <v>406</v>
      </c>
      <c r="B378" s="105">
        <f>40001</f>
        <v>40001</v>
      </c>
      <c r="C378" s="209">
        <v>31778.489999999994</v>
      </c>
      <c r="D378" s="209">
        <v>2666.7599999999998</v>
      </c>
      <c r="E378" s="209">
        <f t="shared" si="35"/>
        <v>29111.729999999996</v>
      </c>
      <c r="F378" s="209">
        <f t="shared" si="36"/>
        <v>2666.7599999999998</v>
      </c>
      <c r="G378" s="209">
        <f t="shared" si="37"/>
        <v>26444.969999999998</v>
      </c>
      <c r="H378" s="209">
        <f t="shared" si="38"/>
        <v>27778.35</v>
      </c>
      <c r="I378" s="89"/>
      <c r="J378" s="900"/>
    </row>
    <row r="379" spans="1:10" ht="12.75" hidden="1" outlineLevel="1">
      <c r="A379" s="212" t="s">
        <v>407</v>
      </c>
      <c r="B379" s="105">
        <f>40001</f>
        <v>40001</v>
      </c>
      <c r="C379" s="209">
        <v>31778.489999999994</v>
      </c>
      <c r="D379" s="209">
        <v>2666.7599999999998</v>
      </c>
      <c r="E379" s="209">
        <f t="shared" si="35"/>
        <v>29111.729999999996</v>
      </c>
      <c r="F379" s="209">
        <f t="shared" si="36"/>
        <v>2666.7599999999998</v>
      </c>
      <c r="G379" s="209">
        <f t="shared" si="37"/>
        <v>26444.969999999998</v>
      </c>
      <c r="H379" s="209">
        <f t="shared" si="38"/>
        <v>27778.35</v>
      </c>
      <c r="I379" s="89"/>
      <c r="J379" s="900"/>
    </row>
    <row r="380" spans="1:10" ht="12.75" hidden="1" outlineLevel="1">
      <c r="A380" s="212" t="s">
        <v>408</v>
      </c>
      <c r="B380" s="105">
        <f>40001</f>
        <v>40001</v>
      </c>
      <c r="C380" s="209">
        <v>31778.489999999994</v>
      </c>
      <c r="D380" s="209">
        <v>2666.7599999999998</v>
      </c>
      <c r="E380" s="209">
        <f t="shared" si="35"/>
        <v>29111.729999999996</v>
      </c>
      <c r="F380" s="209">
        <f t="shared" si="36"/>
        <v>2666.7599999999998</v>
      </c>
      <c r="G380" s="209">
        <f t="shared" si="37"/>
        <v>26444.969999999998</v>
      </c>
      <c r="H380" s="209">
        <f t="shared" si="38"/>
        <v>27778.35</v>
      </c>
      <c r="I380" s="89"/>
      <c r="J380" s="900"/>
    </row>
    <row r="381" spans="1:10" ht="12.75" hidden="1" outlineLevel="1">
      <c r="A381" s="212" t="s">
        <v>409</v>
      </c>
      <c r="B381" s="105">
        <f>40001</f>
        <v>40001</v>
      </c>
      <c r="C381" s="209">
        <v>31778.489999999994</v>
      </c>
      <c r="D381" s="209">
        <v>2666.7599999999998</v>
      </c>
      <c r="E381" s="209">
        <f t="shared" si="35"/>
        <v>29111.729999999996</v>
      </c>
      <c r="F381" s="209">
        <f t="shared" si="36"/>
        <v>2666.7599999999998</v>
      </c>
      <c r="G381" s="209">
        <f t="shared" si="37"/>
        <v>26444.969999999998</v>
      </c>
      <c r="H381" s="209">
        <f t="shared" si="38"/>
        <v>27778.35</v>
      </c>
      <c r="I381" s="89"/>
      <c r="J381" s="900"/>
    </row>
    <row r="382" spans="1:10" ht="12.75" hidden="1" outlineLevel="1">
      <c r="A382" s="212" t="s">
        <v>410</v>
      </c>
      <c r="B382" s="105">
        <f>40001</f>
        <v>40001</v>
      </c>
      <c r="C382" s="209">
        <v>31778.489999999994</v>
      </c>
      <c r="D382" s="209">
        <v>2666.7599999999998</v>
      </c>
      <c r="E382" s="209">
        <f t="shared" si="35"/>
        <v>29111.729999999996</v>
      </c>
      <c r="F382" s="209">
        <f t="shared" si="36"/>
        <v>2666.7599999999998</v>
      </c>
      <c r="G382" s="209">
        <f t="shared" si="37"/>
        <v>26444.969999999998</v>
      </c>
      <c r="H382" s="209">
        <f t="shared" si="38"/>
        <v>27778.35</v>
      </c>
      <c r="I382" s="89"/>
      <c r="J382" s="900"/>
    </row>
    <row r="383" spans="1:10" ht="12.75" hidden="1" outlineLevel="1">
      <c r="A383" s="212" t="s">
        <v>411</v>
      </c>
      <c r="B383" s="105">
        <f>40001</f>
        <v>40001</v>
      </c>
      <c r="C383" s="209">
        <v>31778.489999999994</v>
      </c>
      <c r="D383" s="209">
        <v>2666.7599999999998</v>
      </c>
      <c r="E383" s="209">
        <f t="shared" si="35"/>
        <v>29111.729999999996</v>
      </c>
      <c r="F383" s="209">
        <f t="shared" si="36"/>
        <v>2666.7599999999998</v>
      </c>
      <c r="G383" s="209">
        <f t="shared" si="37"/>
        <v>26444.969999999998</v>
      </c>
      <c r="H383" s="209">
        <f t="shared" si="38"/>
        <v>27778.35</v>
      </c>
      <c r="I383" s="89"/>
      <c r="J383" s="900"/>
    </row>
    <row r="384" spans="1:10" ht="12.75" hidden="1" outlineLevel="1">
      <c r="A384" s="212" t="s">
        <v>412</v>
      </c>
      <c r="B384" s="105">
        <f>40001</f>
        <v>40001</v>
      </c>
      <c r="C384" s="209">
        <v>31778.489999999994</v>
      </c>
      <c r="D384" s="209">
        <v>2666.7599999999998</v>
      </c>
      <c r="E384" s="209">
        <f t="shared" si="35"/>
        <v>29111.729999999996</v>
      </c>
      <c r="F384" s="209">
        <f t="shared" si="36"/>
        <v>2666.7599999999998</v>
      </c>
      <c r="G384" s="209">
        <f t="shared" si="37"/>
        <v>26444.969999999998</v>
      </c>
      <c r="H384" s="209">
        <f t="shared" si="38"/>
        <v>27778.35</v>
      </c>
      <c r="I384" s="89"/>
      <c r="J384" s="900"/>
    </row>
    <row r="385" spans="1:10" ht="12.75" hidden="1" outlineLevel="1">
      <c r="A385" s="212" t="s">
        <v>413</v>
      </c>
      <c r="B385" s="105">
        <f>40001</f>
        <v>40001</v>
      </c>
      <c r="C385" s="209">
        <v>31778.489999999994</v>
      </c>
      <c r="D385" s="209">
        <v>2666.7599999999998</v>
      </c>
      <c r="E385" s="209">
        <f t="shared" si="35"/>
        <v>29111.729999999996</v>
      </c>
      <c r="F385" s="209">
        <f t="shared" si="36"/>
        <v>2666.7599999999998</v>
      </c>
      <c r="G385" s="209">
        <f t="shared" si="37"/>
        <v>26444.969999999998</v>
      </c>
      <c r="H385" s="209">
        <f t="shared" si="38"/>
        <v>27778.35</v>
      </c>
      <c r="I385" s="89"/>
      <c r="J385" s="900"/>
    </row>
    <row r="386" spans="1:10" ht="12.75" hidden="1" outlineLevel="1">
      <c r="A386" s="212" t="s">
        <v>414</v>
      </c>
      <c r="B386" s="105">
        <f>40001</f>
        <v>40001</v>
      </c>
      <c r="C386" s="209">
        <v>31778.489999999994</v>
      </c>
      <c r="D386" s="209">
        <v>2666.7599999999998</v>
      </c>
      <c r="E386" s="209">
        <f t="shared" si="35"/>
        <v>29111.729999999996</v>
      </c>
      <c r="F386" s="209">
        <f t="shared" si="36"/>
        <v>2666.7599999999998</v>
      </c>
      <c r="G386" s="209">
        <f t="shared" si="37"/>
        <v>26444.969999999998</v>
      </c>
      <c r="H386" s="209">
        <f t="shared" si="38"/>
        <v>27778.35</v>
      </c>
      <c r="I386" s="89"/>
      <c r="J386" s="900"/>
    </row>
    <row r="387" spans="1:10" ht="12.75" hidden="1" outlineLevel="1">
      <c r="A387" s="212" t="s">
        <v>415</v>
      </c>
      <c r="B387" s="105">
        <f>40001</f>
        <v>40001</v>
      </c>
      <c r="C387" s="209">
        <v>31778.489999999994</v>
      </c>
      <c r="D387" s="209">
        <v>2666.7599999999998</v>
      </c>
      <c r="E387" s="209">
        <f t="shared" si="35"/>
        <v>29111.729999999996</v>
      </c>
      <c r="F387" s="209">
        <f t="shared" si="36"/>
        <v>2666.7599999999998</v>
      </c>
      <c r="G387" s="209">
        <f t="shared" si="37"/>
        <v>26444.969999999998</v>
      </c>
      <c r="H387" s="209">
        <f t="shared" si="38"/>
        <v>27778.35</v>
      </c>
      <c r="I387" s="89"/>
      <c r="J387" s="900"/>
    </row>
    <row r="388" spans="1:10" ht="12.75" hidden="1" outlineLevel="1">
      <c r="A388" s="212" t="s">
        <v>416</v>
      </c>
      <c r="B388" s="105">
        <f>40001</f>
        <v>40001</v>
      </c>
      <c r="C388" s="209">
        <v>31778.489999999994</v>
      </c>
      <c r="D388" s="209">
        <v>2666.7599999999998</v>
      </c>
      <c r="E388" s="209">
        <f t="shared" si="35"/>
        <v>29111.729999999996</v>
      </c>
      <c r="F388" s="209">
        <f t="shared" si="36"/>
        <v>2666.7599999999998</v>
      </c>
      <c r="G388" s="209">
        <f t="shared" si="37"/>
        <v>26444.969999999998</v>
      </c>
      <c r="H388" s="209">
        <f t="shared" si="38"/>
        <v>27778.35</v>
      </c>
      <c r="I388" s="89"/>
      <c r="J388" s="900"/>
    </row>
    <row r="389" spans="1:10" ht="12.75" hidden="1" outlineLevel="1">
      <c r="A389" s="212" t="s">
        <v>417</v>
      </c>
      <c r="B389" s="105">
        <f>40001</f>
        <v>40001</v>
      </c>
      <c r="C389" s="209">
        <v>31778.489999999994</v>
      </c>
      <c r="D389" s="209">
        <v>2666.7599999999998</v>
      </c>
      <c r="E389" s="209">
        <f t="shared" si="35"/>
        <v>29111.729999999996</v>
      </c>
      <c r="F389" s="209">
        <f t="shared" si="36"/>
        <v>2666.7599999999998</v>
      </c>
      <c r="G389" s="209">
        <f t="shared" si="37"/>
        <v>26444.969999999998</v>
      </c>
      <c r="H389" s="209">
        <f t="shared" si="38"/>
        <v>27778.35</v>
      </c>
      <c r="I389" s="89"/>
      <c r="J389" s="900"/>
    </row>
    <row r="390" spans="1:10" ht="12.75" hidden="1" outlineLevel="1">
      <c r="A390" s="212" t="s">
        <v>418</v>
      </c>
      <c r="B390" s="105">
        <f>40001</f>
        <v>40001</v>
      </c>
      <c r="C390" s="209">
        <v>31778.489999999994</v>
      </c>
      <c r="D390" s="209">
        <v>2666.7599999999998</v>
      </c>
      <c r="E390" s="209">
        <f aca="true" t="shared" si="39" ref="E390:E455">C390-D390</f>
        <v>29111.729999999996</v>
      </c>
      <c r="F390" s="209">
        <f t="shared" si="36"/>
        <v>2666.7599999999998</v>
      </c>
      <c r="G390" s="209">
        <f t="shared" si="37"/>
        <v>26444.969999999998</v>
      </c>
      <c r="H390" s="209">
        <f t="shared" si="38"/>
        <v>27778.35</v>
      </c>
      <c r="I390" s="89"/>
      <c r="J390" s="900"/>
    </row>
    <row r="391" spans="1:10" ht="12.75" hidden="1" outlineLevel="1">
      <c r="A391" s="212" t="s">
        <v>419</v>
      </c>
      <c r="B391" s="105">
        <f>40001</f>
        <v>40001</v>
      </c>
      <c r="C391" s="209">
        <v>31778.489999999994</v>
      </c>
      <c r="D391" s="209">
        <v>2666.7599999999998</v>
      </c>
      <c r="E391" s="209">
        <f t="shared" si="39"/>
        <v>29111.729999999996</v>
      </c>
      <c r="F391" s="209">
        <f t="shared" si="36"/>
        <v>2666.7599999999998</v>
      </c>
      <c r="G391" s="209">
        <f t="shared" si="37"/>
        <v>26444.969999999998</v>
      </c>
      <c r="H391" s="209">
        <f t="shared" si="38"/>
        <v>27778.35</v>
      </c>
      <c r="I391" s="89"/>
      <c r="J391" s="900"/>
    </row>
    <row r="392" spans="1:10" ht="12.75" hidden="1" outlineLevel="1">
      <c r="A392" s="212" t="s">
        <v>420</v>
      </c>
      <c r="B392" s="105">
        <f>40001</f>
        <v>40001</v>
      </c>
      <c r="C392" s="209">
        <v>31778.489999999994</v>
      </c>
      <c r="D392" s="209">
        <v>2666.7599999999998</v>
      </c>
      <c r="E392" s="209">
        <f t="shared" si="39"/>
        <v>29111.729999999996</v>
      </c>
      <c r="F392" s="209">
        <f t="shared" si="36"/>
        <v>2666.7599999999998</v>
      </c>
      <c r="G392" s="209">
        <f t="shared" si="37"/>
        <v>26444.969999999998</v>
      </c>
      <c r="H392" s="209">
        <f t="shared" si="38"/>
        <v>27778.35</v>
      </c>
      <c r="I392" s="89"/>
      <c r="J392" s="900"/>
    </row>
    <row r="393" spans="1:10" ht="12.75" hidden="1" outlineLevel="1">
      <c r="A393" s="212" t="s">
        <v>421</v>
      </c>
      <c r="B393" s="105">
        <f>40001</f>
        <v>40001</v>
      </c>
      <c r="C393" s="209">
        <v>31778.489999999994</v>
      </c>
      <c r="D393" s="209">
        <v>2666.7599999999998</v>
      </c>
      <c r="E393" s="209">
        <f t="shared" si="39"/>
        <v>29111.729999999996</v>
      </c>
      <c r="F393" s="209">
        <f aca="true" t="shared" si="40" ref="F393:F453">IF(D393&lt;=E393,D393,E393)</f>
        <v>2666.7599999999998</v>
      </c>
      <c r="G393" s="209">
        <f aca="true" t="shared" si="41" ref="G393:G453">E393-F393</f>
        <v>26444.969999999998</v>
      </c>
      <c r="H393" s="209">
        <f aca="true" t="shared" si="42" ref="H393:H453">(E393+G393)/2</f>
        <v>27778.35</v>
      </c>
      <c r="I393" s="89"/>
      <c r="J393" s="900"/>
    </row>
    <row r="394" spans="1:10" ht="12.75" hidden="1" outlineLevel="1">
      <c r="A394" s="212" t="s">
        <v>422</v>
      </c>
      <c r="B394" s="105">
        <f>40001</f>
        <v>40001</v>
      </c>
      <c r="C394" s="209">
        <v>31778.489999999994</v>
      </c>
      <c r="D394" s="209">
        <v>2666.7599999999998</v>
      </c>
      <c r="E394" s="209">
        <f t="shared" si="39"/>
        <v>29111.729999999996</v>
      </c>
      <c r="F394" s="209">
        <f t="shared" si="40"/>
        <v>2666.7599999999998</v>
      </c>
      <c r="G394" s="209">
        <f t="shared" si="41"/>
        <v>26444.969999999998</v>
      </c>
      <c r="H394" s="209">
        <f t="shared" si="42"/>
        <v>27778.35</v>
      </c>
      <c r="I394" s="89"/>
      <c r="J394" s="900"/>
    </row>
    <row r="395" spans="1:10" ht="12.75" hidden="1" outlineLevel="1">
      <c r="A395" s="212" t="s">
        <v>423</v>
      </c>
      <c r="B395" s="105">
        <f>40001</f>
        <v>40001</v>
      </c>
      <c r="C395" s="209">
        <v>31778.489999999994</v>
      </c>
      <c r="D395" s="209">
        <v>2666.7599999999998</v>
      </c>
      <c r="E395" s="209">
        <f t="shared" si="39"/>
        <v>29111.729999999996</v>
      </c>
      <c r="F395" s="209">
        <f t="shared" si="40"/>
        <v>2666.7599999999998</v>
      </c>
      <c r="G395" s="209">
        <f t="shared" si="41"/>
        <v>26444.969999999998</v>
      </c>
      <c r="H395" s="209">
        <f t="shared" si="42"/>
        <v>27778.35</v>
      </c>
      <c r="I395" s="89"/>
      <c r="J395" s="900"/>
    </row>
    <row r="396" spans="1:10" ht="12.75" hidden="1" outlineLevel="1">
      <c r="A396" s="212" t="s">
        <v>424</v>
      </c>
      <c r="B396" s="105">
        <f>40001</f>
        <v>40001</v>
      </c>
      <c r="C396" s="209">
        <v>31778.489999999994</v>
      </c>
      <c r="D396" s="209">
        <v>2666.7599999999998</v>
      </c>
      <c r="E396" s="209">
        <f t="shared" si="39"/>
        <v>29111.729999999996</v>
      </c>
      <c r="F396" s="209">
        <f t="shared" si="40"/>
        <v>2666.7599999999998</v>
      </c>
      <c r="G396" s="209">
        <f t="shared" si="41"/>
        <v>26444.969999999998</v>
      </c>
      <c r="H396" s="209">
        <f t="shared" si="42"/>
        <v>27778.35</v>
      </c>
      <c r="I396" s="89"/>
      <c r="J396" s="900"/>
    </row>
    <row r="397" spans="1:10" ht="12.75" hidden="1" outlineLevel="1">
      <c r="A397" s="212" t="s">
        <v>425</v>
      </c>
      <c r="B397" s="105">
        <f>40001</f>
        <v>40001</v>
      </c>
      <c r="C397" s="209">
        <v>31778.489999999994</v>
      </c>
      <c r="D397" s="209">
        <v>2666.7599999999998</v>
      </c>
      <c r="E397" s="209">
        <f t="shared" si="39"/>
        <v>29111.729999999996</v>
      </c>
      <c r="F397" s="209">
        <f t="shared" si="40"/>
        <v>2666.7599999999998</v>
      </c>
      <c r="G397" s="209">
        <f t="shared" si="41"/>
        <v>26444.969999999998</v>
      </c>
      <c r="H397" s="209">
        <f t="shared" si="42"/>
        <v>27778.35</v>
      </c>
      <c r="I397" s="89"/>
      <c r="J397" s="900"/>
    </row>
    <row r="398" spans="1:10" ht="12.75" hidden="1" outlineLevel="1">
      <c r="A398" s="212" t="s">
        <v>426</v>
      </c>
      <c r="B398" s="105">
        <f>40001</f>
        <v>40001</v>
      </c>
      <c r="C398" s="209">
        <v>31778.489999999994</v>
      </c>
      <c r="D398" s="209">
        <v>2666.7599999999998</v>
      </c>
      <c r="E398" s="209">
        <f t="shared" si="39"/>
        <v>29111.729999999996</v>
      </c>
      <c r="F398" s="209">
        <f t="shared" si="40"/>
        <v>2666.7599999999998</v>
      </c>
      <c r="G398" s="209">
        <f t="shared" si="41"/>
        <v>26444.969999999998</v>
      </c>
      <c r="H398" s="209">
        <f t="shared" si="42"/>
        <v>27778.35</v>
      </c>
      <c r="I398" s="89"/>
      <c r="J398" s="900"/>
    </row>
    <row r="399" spans="1:10" ht="12.75" hidden="1" outlineLevel="1">
      <c r="A399" s="212" t="s">
        <v>427</v>
      </c>
      <c r="B399" s="105">
        <f>40001</f>
        <v>40001</v>
      </c>
      <c r="C399" s="209">
        <v>31778.489999999994</v>
      </c>
      <c r="D399" s="209">
        <v>2666.7599999999998</v>
      </c>
      <c r="E399" s="209">
        <f t="shared" si="39"/>
        <v>29111.729999999996</v>
      </c>
      <c r="F399" s="209">
        <f t="shared" si="40"/>
        <v>2666.7599999999998</v>
      </c>
      <c r="G399" s="209">
        <f t="shared" si="41"/>
        <v>26444.969999999998</v>
      </c>
      <c r="H399" s="209">
        <f t="shared" si="42"/>
        <v>27778.35</v>
      </c>
      <c r="I399" s="89"/>
      <c r="J399" s="900"/>
    </row>
    <row r="400" spans="1:10" ht="12.75" hidden="1" outlineLevel="1">
      <c r="A400" s="212" t="s">
        <v>428</v>
      </c>
      <c r="B400" s="105">
        <f>40001</f>
        <v>40001</v>
      </c>
      <c r="C400" s="209">
        <v>31778.489999999994</v>
      </c>
      <c r="D400" s="209">
        <v>2666.7599999999998</v>
      </c>
      <c r="E400" s="209">
        <f t="shared" si="39"/>
        <v>29111.729999999996</v>
      </c>
      <c r="F400" s="209">
        <f t="shared" si="40"/>
        <v>2666.7599999999998</v>
      </c>
      <c r="G400" s="209">
        <f t="shared" si="41"/>
        <v>26444.969999999998</v>
      </c>
      <c r="H400" s="209">
        <f t="shared" si="42"/>
        <v>27778.35</v>
      </c>
      <c r="I400" s="89"/>
      <c r="J400" s="900"/>
    </row>
    <row r="401" spans="1:10" ht="12.75" hidden="1" outlineLevel="1">
      <c r="A401" s="212" t="s">
        <v>429</v>
      </c>
      <c r="B401" s="105">
        <f>40001</f>
        <v>40001</v>
      </c>
      <c r="C401" s="209">
        <v>31778.489999999994</v>
      </c>
      <c r="D401" s="209">
        <v>2666.7599999999998</v>
      </c>
      <c r="E401" s="209">
        <f t="shared" si="39"/>
        <v>29111.729999999996</v>
      </c>
      <c r="F401" s="209">
        <f t="shared" si="40"/>
        <v>2666.7599999999998</v>
      </c>
      <c r="G401" s="209">
        <f t="shared" si="41"/>
        <v>26444.969999999998</v>
      </c>
      <c r="H401" s="209">
        <f t="shared" si="42"/>
        <v>27778.35</v>
      </c>
      <c r="I401" s="89"/>
      <c r="J401" s="900"/>
    </row>
    <row r="402" spans="1:10" ht="12.75" hidden="1" outlineLevel="1">
      <c r="A402" s="212" t="s">
        <v>430</v>
      </c>
      <c r="B402" s="105">
        <f>40001</f>
        <v>40001</v>
      </c>
      <c r="C402" s="209">
        <v>31778.489999999994</v>
      </c>
      <c r="D402" s="209">
        <v>2666.7599999999998</v>
      </c>
      <c r="E402" s="209">
        <f t="shared" si="39"/>
        <v>29111.729999999996</v>
      </c>
      <c r="F402" s="209">
        <f t="shared" si="40"/>
        <v>2666.7599999999998</v>
      </c>
      <c r="G402" s="209">
        <f t="shared" si="41"/>
        <v>26444.969999999998</v>
      </c>
      <c r="H402" s="209">
        <f t="shared" si="42"/>
        <v>27778.35</v>
      </c>
      <c r="I402" s="89"/>
      <c r="J402" s="900"/>
    </row>
    <row r="403" spans="1:10" ht="12.75" hidden="1" outlineLevel="1">
      <c r="A403" s="212" t="s">
        <v>431</v>
      </c>
      <c r="B403" s="105">
        <f>40001</f>
        <v>40001</v>
      </c>
      <c r="C403" s="209">
        <v>31778.489999999994</v>
      </c>
      <c r="D403" s="209">
        <v>2666.7599999999998</v>
      </c>
      <c r="E403" s="209">
        <f t="shared" si="39"/>
        <v>29111.729999999996</v>
      </c>
      <c r="F403" s="209">
        <f t="shared" si="40"/>
        <v>2666.7599999999998</v>
      </c>
      <c r="G403" s="209">
        <f t="shared" si="41"/>
        <v>26444.969999999998</v>
      </c>
      <c r="H403" s="209">
        <f t="shared" si="42"/>
        <v>27778.35</v>
      </c>
      <c r="I403" s="89"/>
      <c r="J403" s="900"/>
    </row>
    <row r="404" spans="1:10" ht="12.75" hidden="1" outlineLevel="1">
      <c r="A404" s="212" t="s">
        <v>432</v>
      </c>
      <c r="B404" s="105">
        <f>40001</f>
        <v>40001</v>
      </c>
      <c r="C404" s="209">
        <v>31778.489999999994</v>
      </c>
      <c r="D404" s="209">
        <v>2666.7599999999998</v>
      </c>
      <c r="E404" s="209">
        <f t="shared" si="39"/>
        <v>29111.729999999996</v>
      </c>
      <c r="F404" s="209">
        <f t="shared" si="40"/>
        <v>2666.7599999999998</v>
      </c>
      <c r="G404" s="209">
        <f t="shared" si="41"/>
        <v>26444.969999999998</v>
      </c>
      <c r="H404" s="209">
        <f t="shared" si="42"/>
        <v>27778.35</v>
      </c>
      <c r="I404" s="89"/>
      <c r="J404" s="900"/>
    </row>
    <row r="405" spans="1:10" ht="12.75" hidden="1" outlineLevel="1">
      <c r="A405" s="212" t="s">
        <v>433</v>
      </c>
      <c r="B405" s="105">
        <f>40001</f>
        <v>40001</v>
      </c>
      <c r="C405" s="209">
        <v>31778.489999999994</v>
      </c>
      <c r="D405" s="209">
        <v>2666.7599999999998</v>
      </c>
      <c r="E405" s="209">
        <f t="shared" si="39"/>
        <v>29111.729999999996</v>
      </c>
      <c r="F405" s="209">
        <f t="shared" si="40"/>
        <v>2666.7599999999998</v>
      </c>
      <c r="G405" s="209">
        <f t="shared" si="41"/>
        <v>26444.969999999998</v>
      </c>
      <c r="H405" s="209">
        <f t="shared" si="42"/>
        <v>27778.35</v>
      </c>
      <c r="I405" s="89"/>
      <c r="J405" s="900"/>
    </row>
    <row r="406" spans="1:10" ht="12.75" hidden="1" outlineLevel="1">
      <c r="A406" s="212" t="s">
        <v>434</v>
      </c>
      <c r="B406" s="105">
        <f>40001</f>
        <v>40001</v>
      </c>
      <c r="C406" s="209">
        <v>31778.489999999994</v>
      </c>
      <c r="D406" s="209">
        <v>2666.7599999999998</v>
      </c>
      <c r="E406" s="209">
        <f t="shared" si="39"/>
        <v>29111.729999999996</v>
      </c>
      <c r="F406" s="209">
        <f t="shared" si="40"/>
        <v>2666.7599999999998</v>
      </c>
      <c r="G406" s="209">
        <f t="shared" si="41"/>
        <v>26444.969999999998</v>
      </c>
      <c r="H406" s="209">
        <f t="shared" si="42"/>
        <v>27778.35</v>
      </c>
      <c r="I406" s="89"/>
      <c r="J406" s="900"/>
    </row>
    <row r="407" spans="1:10" ht="12.75" hidden="1" outlineLevel="1">
      <c r="A407" s="212" t="s">
        <v>435</v>
      </c>
      <c r="B407" s="105">
        <f>40001</f>
        <v>40001</v>
      </c>
      <c r="C407" s="209">
        <v>31778.489999999994</v>
      </c>
      <c r="D407" s="209">
        <v>2666.7599999999998</v>
      </c>
      <c r="E407" s="209">
        <f t="shared" si="39"/>
        <v>29111.729999999996</v>
      </c>
      <c r="F407" s="209">
        <f t="shared" si="40"/>
        <v>2666.7599999999998</v>
      </c>
      <c r="G407" s="209">
        <f t="shared" si="41"/>
        <v>26444.969999999998</v>
      </c>
      <c r="H407" s="209">
        <f t="shared" si="42"/>
        <v>27778.35</v>
      </c>
      <c r="I407" s="89"/>
      <c r="J407" s="900"/>
    </row>
    <row r="408" spans="1:10" ht="12.75" hidden="1" outlineLevel="1">
      <c r="A408" s="212" t="s">
        <v>436</v>
      </c>
      <c r="B408" s="105">
        <f>40001</f>
        <v>40001</v>
      </c>
      <c r="C408" s="209">
        <v>31778.489999999994</v>
      </c>
      <c r="D408" s="209">
        <v>2666.7599999999998</v>
      </c>
      <c r="E408" s="209">
        <f t="shared" si="39"/>
        <v>29111.729999999996</v>
      </c>
      <c r="F408" s="209">
        <f t="shared" si="40"/>
        <v>2666.7599999999998</v>
      </c>
      <c r="G408" s="209">
        <f t="shared" si="41"/>
        <v>26444.969999999998</v>
      </c>
      <c r="H408" s="209">
        <f t="shared" si="42"/>
        <v>27778.35</v>
      </c>
      <c r="I408" s="89"/>
      <c r="J408" s="900"/>
    </row>
    <row r="409" spans="1:10" ht="12.75" hidden="1" outlineLevel="1">
      <c r="A409" s="212" t="s">
        <v>437</v>
      </c>
      <c r="B409" s="105">
        <f>40001</f>
        <v>40001</v>
      </c>
      <c r="C409" s="209">
        <v>31778.489999999994</v>
      </c>
      <c r="D409" s="209">
        <v>2666.7599999999998</v>
      </c>
      <c r="E409" s="209">
        <f t="shared" si="39"/>
        <v>29111.729999999996</v>
      </c>
      <c r="F409" s="209">
        <f t="shared" si="40"/>
        <v>2666.7599999999998</v>
      </c>
      <c r="G409" s="209">
        <f t="shared" si="41"/>
        <v>26444.969999999998</v>
      </c>
      <c r="H409" s="209">
        <f t="shared" si="42"/>
        <v>27778.35</v>
      </c>
      <c r="I409" s="89"/>
      <c r="J409" s="900"/>
    </row>
    <row r="410" spans="1:10" ht="12.75" hidden="1" outlineLevel="1">
      <c r="A410" s="212" t="s">
        <v>438</v>
      </c>
      <c r="B410" s="105">
        <f>40001</f>
        <v>40001</v>
      </c>
      <c r="C410" s="209">
        <v>31778.489999999994</v>
      </c>
      <c r="D410" s="209">
        <v>2666.7599999999998</v>
      </c>
      <c r="E410" s="209">
        <f t="shared" si="39"/>
        <v>29111.729999999996</v>
      </c>
      <c r="F410" s="209">
        <f t="shared" si="40"/>
        <v>2666.7599999999998</v>
      </c>
      <c r="G410" s="209">
        <f t="shared" si="41"/>
        <v>26444.969999999998</v>
      </c>
      <c r="H410" s="209">
        <f t="shared" si="42"/>
        <v>27778.35</v>
      </c>
      <c r="I410" s="89"/>
      <c r="J410" s="900"/>
    </row>
    <row r="411" spans="1:10" ht="12.75" hidden="1" outlineLevel="1">
      <c r="A411" s="212" t="s">
        <v>439</v>
      </c>
      <c r="B411" s="105">
        <f>40001</f>
        <v>40001</v>
      </c>
      <c r="C411" s="209">
        <v>31778.489999999994</v>
      </c>
      <c r="D411" s="209">
        <v>2666.7599999999998</v>
      </c>
      <c r="E411" s="209">
        <f t="shared" si="39"/>
        <v>29111.729999999996</v>
      </c>
      <c r="F411" s="209">
        <f t="shared" si="40"/>
        <v>2666.7599999999998</v>
      </c>
      <c r="G411" s="209">
        <f t="shared" si="41"/>
        <v>26444.969999999998</v>
      </c>
      <c r="H411" s="209">
        <f t="shared" si="42"/>
        <v>27778.35</v>
      </c>
      <c r="I411" s="89"/>
      <c r="J411" s="900"/>
    </row>
    <row r="412" spans="1:10" ht="12.75" hidden="1" outlineLevel="1">
      <c r="A412" s="212" t="s">
        <v>440</v>
      </c>
      <c r="B412" s="105">
        <f>40001</f>
        <v>40001</v>
      </c>
      <c r="C412" s="209">
        <v>31778.489999999994</v>
      </c>
      <c r="D412" s="209">
        <v>2666.7599999999998</v>
      </c>
      <c r="E412" s="209">
        <f t="shared" si="39"/>
        <v>29111.729999999996</v>
      </c>
      <c r="F412" s="209">
        <f t="shared" si="40"/>
        <v>2666.7599999999998</v>
      </c>
      <c r="G412" s="209">
        <f t="shared" si="41"/>
        <v>26444.969999999998</v>
      </c>
      <c r="H412" s="209">
        <f t="shared" si="42"/>
        <v>27778.35</v>
      </c>
      <c r="I412" s="89"/>
      <c r="J412" s="900"/>
    </row>
    <row r="413" spans="1:10" ht="12.75" hidden="1" outlineLevel="1">
      <c r="A413" s="212" t="s">
        <v>441</v>
      </c>
      <c r="B413" s="105">
        <f>40001</f>
        <v>40001</v>
      </c>
      <c r="C413" s="209">
        <v>31778.489999999994</v>
      </c>
      <c r="D413" s="209">
        <v>2666.7599999999998</v>
      </c>
      <c r="E413" s="209">
        <f t="shared" si="39"/>
        <v>29111.729999999996</v>
      </c>
      <c r="F413" s="209">
        <f t="shared" si="40"/>
        <v>2666.7599999999998</v>
      </c>
      <c r="G413" s="209">
        <f t="shared" si="41"/>
        <v>26444.969999999998</v>
      </c>
      <c r="H413" s="209">
        <f t="shared" si="42"/>
        <v>27778.35</v>
      </c>
      <c r="I413" s="89"/>
      <c r="J413" s="900"/>
    </row>
    <row r="414" spans="1:10" ht="12.75" hidden="1" outlineLevel="1">
      <c r="A414" s="212" t="s">
        <v>442</v>
      </c>
      <c r="B414" s="105">
        <f>40001</f>
        <v>40001</v>
      </c>
      <c r="C414" s="209">
        <v>31778.489999999994</v>
      </c>
      <c r="D414" s="209">
        <v>2666.7599999999998</v>
      </c>
      <c r="E414" s="209">
        <f t="shared" si="39"/>
        <v>29111.729999999996</v>
      </c>
      <c r="F414" s="209">
        <f t="shared" si="40"/>
        <v>2666.7599999999998</v>
      </c>
      <c r="G414" s="209">
        <f t="shared" si="41"/>
        <v>26444.969999999998</v>
      </c>
      <c r="H414" s="209">
        <f t="shared" si="42"/>
        <v>27778.35</v>
      </c>
      <c r="I414" s="89"/>
      <c r="J414" s="900"/>
    </row>
    <row r="415" spans="1:10" ht="12.75" hidden="1" outlineLevel="1">
      <c r="A415" s="212" t="s">
        <v>443</v>
      </c>
      <c r="B415" s="105">
        <f>40001</f>
        <v>40001</v>
      </c>
      <c r="C415" s="209">
        <v>31778.489999999994</v>
      </c>
      <c r="D415" s="209">
        <v>2666.7599999999998</v>
      </c>
      <c r="E415" s="209">
        <f t="shared" si="39"/>
        <v>29111.729999999996</v>
      </c>
      <c r="F415" s="209">
        <f t="shared" si="40"/>
        <v>2666.7599999999998</v>
      </c>
      <c r="G415" s="209">
        <f t="shared" si="41"/>
        <v>26444.969999999998</v>
      </c>
      <c r="H415" s="209">
        <f t="shared" si="42"/>
        <v>27778.35</v>
      </c>
      <c r="I415" s="89"/>
      <c r="J415" s="900"/>
    </row>
    <row r="416" spans="1:10" ht="12.75" hidden="1" outlineLevel="1">
      <c r="A416" s="212" t="s">
        <v>444</v>
      </c>
      <c r="B416" s="105">
        <f>40001</f>
        <v>40001</v>
      </c>
      <c r="C416" s="209">
        <v>31778.489999999994</v>
      </c>
      <c r="D416" s="209">
        <v>2666.7599999999998</v>
      </c>
      <c r="E416" s="209">
        <f t="shared" si="39"/>
        <v>29111.729999999996</v>
      </c>
      <c r="F416" s="209">
        <f t="shared" si="40"/>
        <v>2666.7599999999998</v>
      </c>
      <c r="G416" s="209">
        <f t="shared" si="41"/>
        <v>26444.969999999998</v>
      </c>
      <c r="H416" s="209">
        <f t="shared" si="42"/>
        <v>27778.35</v>
      </c>
      <c r="I416" s="89"/>
      <c r="J416" s="900"/>
    </row>
    <row r="417" spans="1:10" ht="12.75" hidden="1" outlineLevel="1">
      <c r="A417" s="212" t="s">
        <v>445</v>
      </c>
      <c r="B417" s="105">
        <f>40001</f>
        <v>40001</v>
      </c>
      <c r="C417" s="209">
        <v>31778.489999999994</v>
      </c>
      <c r="D417" s="209">
        <v>2666.7599999999998</v>
      </c>
      <c r="E417" s="209">
        <f t="shared" si="39"/>
        <v>29111.729999999996</v>
      </c>
      <c r="F417" s="209">
        <f t="shared" si="40"/>
        <v>2666.7599999999998</v>
      </c>
      <c r="G417" s="209">
        <f t="shared" si="41"/>
        <v>26444.969999999998</v>
      </c>
      <c r="H417" s="209">
        <f t="shared" si="42"/>
        <v>27778.35</v>
      </c>
      <c r="I417" s="89"/>
      <c r="J417" s="900"/>
    </row>
    <row r="418" spans="1:10" ht="12.75" hidden="1" outlineLevel="1">
      <c r="A418" s="212" t="s">
        <v>446</v>
      </c>
      <c r="B418" s="105">
        <f>40001</f>
        <v>40001</v>
      </c>
      <c r="C418" s="209">
        <v>31778.489999999994</v>
      </c>
      <c r="D418" s="209">
        <v>2666.7599999999998</v>
      </c>
      <c r="E418" s="209">
        <f t="shared" si="39"/>
        <v>29111.729999999996</v>
      </c>
      <c r="F418" s="209">
        <f t="shared" si="40"/>
        <v>2666.7599999999998</v>
      </c>
      <c r="G418" s="209">
        <f t="shared" si="41"/>
        <v>26444.969999999998</v>
      </c>
      <c r="H418" s="209">
        <f t="shared" si="42"/>
        <v>27778.35</v>
      </c>
      <c r="I418" s="89"/>
      <c r="J418" s="900"/>
    </row>
    <row r="419" spans="1:10" ht="12.75" hidden="1" outlineLevel="1">
      <c r="A419" s="212" t="s">
        <v>447</v>
      </c>
      <c r="B419" s="105">
        <f>40001</f>
        <v>40001</v>
      </c>
      <c r="C419" s="209">
        <v>31778.489999999994</v>
      </c>
      <c r="D419" s="209">
        <v>2666.7599999999998</v>
      </c>
      <c r="E419" s="209">
        <f t="shared" si="39"/>
        <v>29111.729999999996</v>
      </c>
      <c r="F419" s="209">
        <f t="shared" si="40"/>
        <v>2666.7599999999998</v>
      </c>
      <c r="G419" s="209">
        <f t="shared" si="41"/>
        <v>26444.969999999998</v>
      </c>
      <c r="H419" s="209">
        <f t="shared" si="42"/>
        <v>27778.35</v>
      </c>
      <c r="I419" s="89"/>
      <c r="J419" s="900"/>
    </row>
    <row r="420" spans="1:10" ht="12.75" hidden="1" outlineLevel="1">
      <c r="A420" s="212" t="s">
        <v>448</v>
      </c>
      <c r="B420" s="105">
        <f>40001</f>
        <v>40001</v>
      </c>
      <c r="C420" s="209">
        <v>31778.489999999994</v>
      </c>
      <c r="D420" s="209">
        <v>2666.7599999999998</v>
      </c>
      <c r="E420" s="209">
        <f t="shared" si="39"/>
        <v>29111.729999999996</v>
      </c>
      <c r="F420" s="209">
        <f t="shared" si="40"/>
        <v>2666.7599999999998</v>
      </c>
      <c r="G420" s="209">
        <f t="shared" si="41"/>
        <v>26444.969999999998</v>
      </c>
      <c r="H420" s="209">
        <f t="shared" si="42"/>
        <v>27778.35</v>
      </c>
      <c r="I420" s="89"/>
      <c r="J420" s="900"/>
    </row>
    <row r="421" spans="1:10" ht="12.75" hidden="1" outlineLevel="1">
      <c r="A421" s="212" t="s">
        <v>449</v>
      </c>
      <c r="B421" s="105">
        <f>40001</f>
        <v>40001</v>
      </c>
      <c r="C421" s="209">
        <v>31778.489999999994</v>
      </c>
      <c r="D421" s="209">
        <v>2666.7599999999998</v>
      </c>
      <c r="E421" s="209">
        <f t="shared" si="39"/>
        <v>29111.729999999996</v>
      </c>
      <c r="F421" s="209">
        <f t="shared" si="40"/>
        <v>2666.7599999999998</v>
      </c>
      <c r="G421" s="209">
        <f t="shared" si="41"/>
        <v>26444.969999999998</v>
      </c>
      <c r="H421" s="209">
        <f t="shared" si="42"/>
        <v>27778.35</v>
      </c>
      <c r="I421" s="89"/>
      <c r="J421" s="900"/>
    </row>
    <row r="422" spans="1:10" ht="12.75" hidden="1" outlineLevel="1">
      <c r="A422" s="212" t="s">
        <v>450</v>
      </c>
      <c r="B422" s="105">
        <f>40001</f>
        <v>40001</v>
      </c>
      <c r="C422" s="209">
        <v>31778.489999999994</v>
      </c>
      <c r="D422" s="209">
        <v>2666.7599999999998</v>
      </c>
      <c r="E422" s="209">
        <f t="shared" si="39"/>
        <v>29111.729999999996</v>
      </c>
      <c r="F422" s="209">
        <f t="shared" si="40"/>
        <v>2666.7599999999998</v>
      </c>
      <c r="G422" s="209">
        <f t="shared" si="41"/>
        <v>26444.969999999998</v>
      </c>
      <c r="H422" s="209">
        <f t="shared" si="42"/>
        <v>27778.35</v>
      </c>
      <c r="I422" s="89"/>
      <c r="J422" s="900"/>
    </row>
    <row r="423" spans="1:10" ht="12.75" hidden="1" outlineLevel="1">
      <c r="A423" s="212" t="s">
        <v>451</v>
      </c>
      <c r="B423" s="105">
        <f>40001</f>
        <v>40001</v>
      </c>
      <c r="C423" s="209">
        <v>31778.489999999994</v>
      </c>
      <c r="D423" s="209">
        <v>2666.7599999999998</v>
      </c>
      <c r="E423" s="209">
        <f t="shared" si="39"/>
        <v>29111.729999999996</v>
      </c>
      <c r="F423" s="209">
        <f t="shared" si="40"/>
        <v>2666.7599999999998</v>
      </c>
      <c r="G423" s="209">
        <f t="shared" si="41"/>
        <v>26444.969999999998</v>
      </c>
      <c r="H423" s="209">
        <f t="shared" si="42"/>
        <v>27778.35</v>
      </c>
      <c r="I423" s="89"/>
      <c r="J423" s="900"/>
    </row>
    <row r="424" spans="1:10" ht="12.75" hidden="1" outlineLevel="1">
      <c r="A424" s="212" t="s">
        <v>452</v>
      </c>
      <c r="B424" s="105">
        <f>40001</f>
        <v>40001</v>
      </c>
      <c r="C424" s="209">
        <v>31778.489999999994</v>
      </c>
      <c r="D424" s="209">
        <v>2666.7599999999998</v>
      </c>
      <c r="E424" s="209">
        <f t="shared" si="39"/>
        <v>29111.729999999996</v>
      </c>
      <c r="F424" s="209">
        <f t="shared" si="40"/>
        <v>2666.7599999999998</v>
      </c>
      <c r="G424" s="209">
        <f t="shared" si="41"/>
        <v>26444.969999999998</v>
      </c>
      <c r="H424" s="209">
        <f t="shared" si="42"/>
        <v>27778.35</v>
      </c>
      <c r="I424" s="89"/>
      <c r="J424" s="900"/>
    </row>
    <row r="425" spans="1:10" ht="12.75" hidden="1" outlineLevel="1">
      <c r="A425" s="212" t="s">
        <v>453</v>
      </c>
      <c r="B425" s="105">
        <f>40001</f>
        <v>40001</v>
      </c>
      <c r="C425" s="209">
        <v>31778.489999999994</v>
      </c>
      <c r="D425" s="209">
        <v>2666.7599999999998</v>
      </c>
      <c r="E425" s="209">
        <f t="shared" si="39"/>
        <v>29111.729999999996</v>
      </c>
      <c r="F425" s="209">
        <f t="shared" si="40"/>
        <v>2666.7599999999998</v>
      </c>
      <c r="G425" s="209">
        <f t="shared" si="41"/>
        <v>26444.969999999998</v>
      </c>
      <c r="H425" s="209">
        <f t="shared" si="42"/>
        <v>27778.35</v>
      </c>
      <c r="I425" s="89"/>
      <c r="J425" s="900"/>
    </row>
    <row r="426" spans="1:10" ht="12.75" hidden="1" outlineLevel="1">
      <c r="A426" s="212" t="s">
        <v>454</v>
      </c>
      <c r="B426" s="105">
        <f>40001</f>
        <v>40001</v>
      </c>
      <c r="C426" s="209">
        <v>31778.489999999994</v>
      </c>
      <c r="D426" s="209">
        <v>2666.7599999999998</v>
      </c>
      <c r="E426" s="209">
        <f t="shared" si="39"/>
        <v>29111.729999999996</v>
      </c>
      <c r="F426" s="209">
        <f t="shared" si="40"/>
        <v>2666.7599999999998</v>
      </c>
      <c r="G426" s="209">
        <f t="shared" si="41"/>
        <v>26444.969999999998</v>
      </c>
      <c r="H426" s="209">
        <f t="shared" si="42"/>
        <v>27778.35</v>
      </c>
      <c r="I426" s="89"/>
      <c r="J426" s="900"/>
    </row>
    <row r="427" spans="1:10" ht="12.75" hidden="1" outlineLevel="1">
      <c r="A427" s="212" t="s">
        <v>455</v>
      </c>
      <c r="B427" s="105">
        <f>40001</f>
        <v>40001</v>
      </c>
      <c r="C427" s="209">
        <v>31778.489999999994</v>
      </c>
      <c r="D427" s="209">
        <v>2666.7599999999998</v>
      </c>
      <c r="E427" s="209">
        <f t="shared" si="39"/>
        <v>29111.729999999996</v>
      </c>
      <c r="F427" s="209">
        <f t="shared" si="40"/>
        <v>2666.7599999999998</v>
      </c>
      <c r="G427" s="209">
        <f t="shared" si="41"/>
        <v>26444.969999999998</v>
      </c>
      <c r="H427" s="209">
        <f t="shared" si="42"/>
        <v>27778.35</v>
      </c>
      <c r="I427" s="89"/>
      <c r="J427" s="900"/>
    </row>
    <row r="428" spans="1:10" ht="12.75" hidden="1" outlineLevel="1">
      <c r="A428" s="212" t="s">
        <v>456</v>
      </c>
      <c r="B428" s="105">
        <f>40001</f>
        <v>40001</v>
      </c>
      <c r="C428" s="209">
        <v>31778.489999999994</v>
      </c>
      <c r="D428" s="209">
        <v>2666.7599999999998</v>
      </c>
      <c r="E428" s="209">
        <f t="shared" si="39"/>
        <v>29111.729999999996</v>
      </c>
      <c r="F428" s="209">
        <f t="shared" si="40"/>
        <v>2666.7599999999998</v>
      </c>
      <c r="G428" s="209">
        <f t="shared" si="41"/>
        <v>26444.969999999998</v>
      </c>
      <c r="H428" s="209">
        <f t="shared" si="42"/>
        <v>27778.35</v>
      </c>
      <c r="I428" s="89"/>
      <c r="J428" s="900"/>
    </row>
    <row r="429" spans="1:10" ht="12.75" hidden="1" outlineLevel="1">
      <c r="A429" s="212" t="s">
        <v>457</v>
      </c>
      <c r="B429" s="105">
        <f>40001</f>
        <v>40001</v>
      </c>
      <c r="C429" s="209">
        <v>31778.489999999994</v>
      </c>
      <c r="D429" s="209">
        <v>2666.7599999999998</v>
      </c>
      <c r="E429" s="209">
        <f t="shared" si="39"/>
        <v>29111.729999999996</v>
      </c>
      <c r="F429" s="209">
        <f t="shared" si="40"/>
        <v>2666.7599999999998</v>
      </c>
      <c r="G429" s="209">
        <f t="shared" si="41"/>
        <v>26444.969999999998</v>
      </c>
      <c r="H429" s="209">
        <f t="shared" si="42"/>
        <v>27778.35</v>
      </c>
      <c r="I429" s="89"/>
      <c r="J429" s="900"/>
    </row>
    <row r="430" spans="1:10" ht="12.75" hidden="1" outlineLevel="1">
      <c r="A430" s="212" t="s">
        <v>458</v>
      </c>
      <c r="B430" s="105">
        <f>40001</f>
        <v>40001</v>
      </c>
      <c r="C430" s="209">
        <v>31778.489999999994</v>
      </c>
      <c r="D430" s="209">
        <v>2666.7599999999998</v>
      </c>
      <c r="E430" s="209">
        <f t="shared" si="39"/>
        <v>29111.729999999996</v>
      </c>
      <c r="F430" s="209">
        <f t="shared" si="40"/>
        <v>2666.7599999999998</v>
      </c>
      <c r="G430" s="209">
        <f t="shared" si="41"/>
        <v>26444.969999999998</v>
      </c>
      <c r="H430" s="209">
        <f t="shared" si="42"/>
        <v>27778.35</v>
      </c>
      <c r="I430" s="89"/>
      <c r="J430" s="900"/>
    </row>
    <row r="431" spans="1:10" ht="12.75" hidden="1" outlineLevel="1">
      <c r="A431" s="212" t="s">
        <v>459</v>
      </c>
      <c r="B431" s="105">
        <f>40001</f>
        <v>40001</v>
      </c>
      <c r="C431" s="209">
        <v>31778.489999999994</v>
      </c>
      <c r="D431" s="209">
        <v>2666.7599999999998</v>
      </c>
      <c r="E431" s="209">
        <f t="shared" si="39"/>
        <v>29111.729999999996</v>
      </c>
      <c r="F431" s="209">
        <f t="shared" si="40"/>
        <v>2666.7599999999998</v>
      </c>
      <c r="G431" s="209">
        <f t="shared" si="41"/>
        <v>26444.969999999998</v>
      </c>
      <c r="H431" s="209">
        <f t="shared" si="42"/>
        <v>27778.35</v>
      </c>
      <c r="I431" s="89"/>
      <c r="J431" s="900"/>
    </row>
    <row r="432" spans="1:10" ht="12.75" hidden="1" outlineLevel="1">
      <c r="A432" s="212" t="s">
        <v>460</v>
      </c>
      <c r="B432" s="105">
        <f>40001</f>
        <v>40001</v>
      </c>
      <c r="C432" s="209">
        <v>31778.489999999994</v>
      </c>
      <c r="D432" s="209">
        <v>2666.7599999999998</v>
      </c>
      <c r="E432" s="209">
        <f t="shared" si="39"/>
        <v>29111.729999999996</v>
      </c>
      <c r="F432" s="209">
        <f t="shared" si="40"/>
        <v>2666.7599999999998</v>
      </c>
      <c r="G432" s="209">
        <f t="shared" si="41"/>
        <v>26444.969999999998</v>
      </c>
      <c r="H432" s="209">
        <f t="shared" si="42"/>
        <v>27778.35</v>
      </c>
      <c r="I432" s="89"/>
      <c r="J432" s="900"/>
    </row>
    <row r="433" spans="1:10" ht="12.75" hidden="1" outlineLevel="1">
      <c r="A433" s="212" t="s">
        <v>461</v>
      </c>
      <c r="B433" s="105">
        <f>40001</f>
        <v>40001</v>
      </c>
      <c r="C433" s="209">
        <v>31778.489999999994</v>
      </c>
      <c r="D433" s="209">
        <v>2666.7599999999998</v>
      </c>
      <c r="E433" s="209">
        <f t="shared" si="39"/>
        <v>29111.729999999996</v>
      </c>
      <c r="F433" s="209">
        <f t="shared" si="40"/>
        <v>2666.7599999999998</v>
      </c>
      <c r="G433" s="209">
        <f t="shared" si="41"/>
        <v>26444.969999999998</v>
      </c>
      <c r="H433" s="209">
        <f t="shared" si="42"/>
        <v>27778.35</v>
      </c>
      <c r="I433" s="89"/>
      <c r="J433" s="900"/>
    </row>
    <row r="434" spans="1:10" ht="12.75" hidden="1" outlineLevel="1">
      <c r="A434" s="212" t="s">
        <v>462</v>
      </c>
      <c r="B434" s="105">
        <f>40001</f>
        <v>40001</v>
      </c>
      <c r="C434" s="209">
        <v>31778.489999999994</v>
      </c>
      <c r="D434" s="209">
        <v>2666.7599999999998</v>
      </c>
      <c r="E434" s="209">
        <f t="shared" si="39"/>
        <v>29111.729999999996</v>
      </c>
      <c r="F434" s="209">
        <f t="shared" si="40"/>
        <v>2666.7599999999998</v>
      </c>
      <c r="G434" s="209">
        <f t="shared" si="41"/>
        <v>26444.969999999998</v>
      </c>
      <c r="H434" s="209">
        <f t="shared" si="42"/>
        <v>27778.35</v>
      </c>
      <c r="I434" s="89"/>
      <c r="J434" s="900"/>
    </row>
    <row r="435" spans="1:10" ht="12.75" hidden="1" outlineLevel="1">
      <c r="A435" s="212" t="s">
        <v>463</v>
      </c>
      <c r="B435" s="105">
        <f>40001</f>
        <v>40001</v>
      </c>
      <c r="C435" s="209">
        <v>31778.489999999994</v>
      </c>
      <c r="D435" s="209">
        <v>2666.7599999999998</v>
      </c>
      <c r="E435" s="209">
        <f t="shared" si="39"/>
        <v>29111.729999999996</v>
      </c>
      <c r="F435" s="209">
        <f t="shared" si="40"/>
        <v>2666.7599999999998</v>
      </c>
      <c r="G435" s="209">
        <f t="shared" si="41"/>
        <v>26444.969999999998</v>
      </c>
      <c r="H435" s="209">
        <f t="shared" si="42"/>
        <v>27778.35</v>
      </c>
      <c r="I435" s="89"/>
      <c r="J435" s="900"/>
    </row>
    <row r="436" spans="1:9" ht="12.75" hidden="1" outlineLevel="1">
      <c r="A436" s="212" t="s">
        <v>464</v>
      </c>
      <c r="B436" s="105">
        <f>40001</f>
        <v>40001</v>
      </c>
      <c r="C436" s="209">
        <v>31778.489999999994</v>
      </c>
      <c r="D436" s="209">
        <v>2666.7599999999998</v>
      </c>
      <c r="E436" s="209">
        <f t="shared" si="39"/>
        <v>29111.729999999996</v>
      </c>
      <c r="F436" s="209">
        <f t="shared" si="40"/>
        <v>2666.7599999999998</v>
      </c>
      <c r="G436" s="209">
        <f t="shared" si="41"/>
        <v>26444.969999999998</v>
      </c>
      <c r="H436" s="209">
        <f t="shared" si="42"/>
        <v>27778.35</v>
      </c>
      <c r="I436" s="89"/>
    </row>
    <row r="437" spans="1:9" ht="12.75" hidden="1" outlineLevel="1">
      <c r="A437" s="212" t="s">
        <v>465</v>
      </c>
      <c r="B437" s="105">
        <f>40001</f>
        <v>40001</v>
      </c>
      <c r="C437" s="209">
        <v>31778.489999999994</v>
      </c>
      <c r="D437" s="209">
        <v>2666.7599999999998</v>
      </c>
      <c r="E437" s="209">
        <f t="shared" si="39"/>
        <v>29111.729999999996</v>
      </c>
      <c r="F437" s="209">
        <f t="shared" si="40"/>
        <v>2666.7599999999998</v>
      </c>
      <c r="G437" s="209">
        <f t="shared" si="41"/>
        <v>26444.969999999998</v>
      </c>
      <c r="H437" s="209">
        <f t="shared" si="42"/>
        <v>27778.35</v>
      </c>
      <c r="I437" s="89"/>
    </row>
    <row r="438" spans="1:9" ht="12.75" hidden="1" outlineLevel="1">
      <c r="A438" s="212" t="s">
        <v>466</v>
      </c>
      <c r="B438" s="105">
        <f>40001</f>
        <v>40001</v>
      </c>
      <c r="C438" s="209">
        <v>31778.489999999994</v>
      </c>
      <c r="D438" s="209">
        <v>2666.7599999999998</v>
      </c>
      <c r="E438" s="209">
        <f t="shared" si="39"/>
        <v>29111.729999999996</v>
      </c>
      <c r="F438" s="209">
        <f t="shared" si="40"/>
        <v>2666.7599999999998</v>
      </c>
      <c r="G438" s="209">
        <f t="shared" si="41"/>
        <v>26444.969999999998</v>
      </c>
      <c r="H438" s="209">
        <f t="shared" si="42"/>
        <v>27778.35</v>
      </c>
      <c r="I438" s="89"/>
    </row>
    <row r="439" spans="1:9" ht="12.75" hidden="1" outlineLevel="1">
      <c r="A439" s="212" t="s">
        <v>467</v>
      </c>
      <c r="B439" s="105">
        <f>40001</f>
        <v>40001</v>
      </c>
      <c r="C439" s="209">
        <v>31778.489999999994</v>
      </c>
      <c r="D439" s="209">
        <v>2666.7599999999998</v>
      </c>
      <c r="E439" s="209">
        <f t="shared" si="39"/>
        <v>29111.729999999996</v>
      </c>
      <c r="F439" s="209">
        <f t="shared" si="40"/>
        <v>2666.7599999999998</v>
      </c>
      <c r="G439" s="209">
        <f t="shared" si="41"/>
        <v>26444.969999999998</v>
      </c>
      <c r="H439" s="209">
        <f t="shared" si="42"/>
        <v>27778.35</v>
      </c>
      <c r="I439" s="89"/>
    </row>
    <row r="440" spans="1:9" ht="12.75" hidden="1" outlineLevel="1">
      <c r="A440" s="212" t="s">
        <v>468</v>
      </c>
      <c r="B440" s="105">
        <f>40001</f>
        <v>40001</v>
      </c>
      <c r="C440" s="209">
        <v>31778.489999999994</v>
      </c>
      <c r="D440" s="209">
        <v>2666.7599999999998</v>
      </c>
      <c r="E440" s="209">
        <f t="shared" si="39"/>
        <v>29111.729999999996</v>
      </c>
      <c r="F440" s="209">
        <f t="shared" si="40"/>
        <v>2666.7599999999998</v>
      </c>
      <c r="G440" s="209">
        <f t="shared" si="41"/>
        <v>26444.969999999998</v>
      </c>
      <c r="H440" s="209">
        <f t="shared" si="42"/>
        <v>27778.35</v>
      </c>
      <c r="I440" s="89"/>
    </row>
    <row r="441" spans="1:9" ht="12.75" hidden="1" outlineLevel="1">
      <c r="A441" s="212" t="s">
        <v>469</v>
      </c>
      <c r="B441" s="105">
        <f>40001</f>
        <v>40001</v>
      </c>
      <c r="C441" s="209">
        <v>31778.489999999994</v>
      </c>
      <c r="D441" s="209">
        <v>2666.7599999999998</v>
      </c>
      <c r="E441" s="209">
        <f t="shared" si="39"/>
        <v>29111.729999999996</v>
      </c>
      <c r="F441" s="209">
        <f t="shared" si="40"/>
        <v>2666.7599999999998</v>
      </c>
      <c r="G441" s="209">
        <f t="shared" si="41"/>
        <v>26444.969999999998</v>
      </c>
      <c r="H441" s="209">
        <f t="shared" si="42"/>
        <v>27778.35</v>
      </c>
      <c r="I441" s="89"/>
    </row>
    <row r="442" spans="1:9" ht="12.75" hidden="1" outlineLevel="1">
      <c r="A442" s="212" t="s">
        <v>470</v>
      </c>
      <c r="B442" s="105">
        <f>40001</f>
        <v>40001</v>
      </c>
      <c r="C442" s="209">
        <v>31778.489999999994</v>
      </c>
      <c r="D442" s="209">
        <v>2666.7599999999998</v>
      </c>
      <c r="E442" s="209">
        <f t="shared" si="39"/>
        <v>29111.729999999996</v>
      </c>
      <c r="F442" s="209">
        <f t="shared" si="40"/>
        <v>2666.7599999999998</v>
      </c>
      <c r="G442" s="209">
        <f t="shared" si="41"/>
        <v>26444.969999999998</v>
      </c>
      <c r="H442" s="209">
        <f t="shared" si="42"/>
        <v>27778.35</v>
      </c>
      <c r="I442" s="89"/>
    </row>
    <row r="443" spans="1:9" ht="12.75" hidden="1" outlineLevel="1">
      <c r="A443" s="212" t="s">
        <v>471</v>
      </c>
      <c r="B443" s="105">
        <f>40001</f>
        <v>40001</v>
      </c>
      <c r="C443" s="209">
        <v>31778.489999999994</v>
      </c>
      <c r="D443" s="209">
        <v>2666.7599999999998</v>
      </c>
      <c r="E443" s="209">
        <f t="shared" si="39"/>
        <v>29111.729999999996</v>
      </c>
      <c r="F443" s="209">
        <f t="shared" si="40"/>
        <v>2666.7599999999998</v>
      </c>
      <c r="G443" s="209">
        <f t="shared" si="41"/>
        <v>26444.969999999998</v>
      </c>
      <c r="H443" s="209">
        <f t="shared" si="42"/>
        <v>27778.35</v>
      </c>
      <c r="I443" s="89"/>
    </row>
    <row r="444" spans="1:9" ht="12.75" hidden="1" outlineLevel="1">
      <c r="A444" s="212" t="s">
        <v>472</v>
      </c>
      <c r="B444" s="105">
        <f>40001</f>
        <v>40001</v>
      </c>
      <c r="C444" s="209">
        <v>31778.489999999994</v>
      </c>
      <c r="D444" s="209">
        <v>2666.7599999999998</v>
      </c>
      <c r="E444" s="209">
        <f t="shared" si="39"/>
        <v>29111.729999999996</v>
      </c>
      <c r="F444" s="209">
        <f t="shared" si="40"/>
        <v>2666.7599999999998</v>
      </c>
      <c r="G444" s="209">
        <f t="shared" si="41"/>
        <v>26444.969999999998</v>
      </c>
      <c r="H444" s="209">
        <f t="shared" si="42"/>
        <v>27778.35</v>
      </c>
      <c r="I444" s="89"/>
    </row>
    <row r="445" spans="1:9" ht="12.75" hidden="1" outlineLevel="1">
      <c r="A445" s="212" t="s">
        <v>473</v>
      </c>
      <c r="B445" s="105">
        <f>40001</f>
        <v>40001</v>
      </c>
      <c r="C445" s="209">
        <v>31778.489999999994</v>
      </c>
      <c r="D445" s="209">
        <v>2666.7599999999998</v>
      </c>
      <c r="E445" s="209">
        <f t="shared" si="39"/>
        <v>29111.729999999996</v>
      </c>
      <c r="F445" s="209">
        <f t="shared" si="40"/>
        <v>2666.7599999999998</v>
      </c>
      <c r="G445" s="209">
        <f t="shared" si="41"/>
        <v>26444.969999999998</v>
      </c>
      <c r="H445" s="209">
        <f t="shared" si="42"/>
        <v>27778.35</v>
      </c>
      <c r="I445" s="89"/>
    </row>
    <row r="446" spans="1:9" ht="12.75" hidden="1" outlineLevel="1">
      <c r="A446" s="212" t="s">
        <v>474</v>
      </c>
      <c r="B446" s="105">
        <f>40001</f>
        <v>40001</v>
      </c>
      <c r="C446" s="209">
        <v>31778.489999999994</v>
      </c>
      <c r="D446" s="209">
        <v>2666.7599999999998</v>
      </c>
      <c r="E446" s="209">
        <f t="shared" si="39"/>
        <v>29111.729999999996</v>
      </c>
      <c r="F446" s="209">
        <f t="shared" si="40"/>
        <v>2666.7599999999998</v>
      </c>
      <c r="G446" s="209">
        <f t="shared" si="41"/>
        <v>26444.969999999998</v>
      </c>
      <c r="H446" s="209">
        <f t="shared" si="42"/>
        <v>27778.35</v>
      </c>
      <c r="I446" s="89"/>
    </row>
    <row r="447" spans="1:9" ht="12.75" hidden="1" outlineLevel="1">
      <c r="A447" s="212" t="s">
        <v>475</v>
      </c>
      <c r="B447" s="105">
        <f>40001</f>
        <v>40001</v>
      </c>
      <c r="C447" s="209">
        <v>31778.489999999994</v>
      </c>
      <c r="D447" s="209">
        <v>2666.7599999999998</v>
      </c>
      <c r="E447" s="209">
        <f t="shared" si="39"/>
        <v>29111.729999999996</v>
      </c>
      <c r="F447" s="209">
        <f t="shared" si="40"/>
        <v>2666.7599999999998</v>
      </c>
      <c r="G447" s="209">
        <f t="shared" si="41"/>
        <v>26444.969999999998</v>
      </c>
      <c r="H447" s="209">
        <f t="shared" si="42"/>
        <v>27778.35</v>
      </c>
      <c r="I447" s="89"/>
    </row>
    <row r="448" spans="1:9" ht="12.75" hidden="1" outlineLevel="1">
      <c r="A448" s="212" t="s">
        <v>476</v>
      </c>
      <c r="B448" s="105">
        <f>40001</f>
        <v>40001</v>
      </c>
      <c r="C448" s="209">
        <v>31778.489999999994</v>
      </c>
      <c r="D448" s="209">
        <v>2666.7599999999998</v>
      </c>
      <c r="E448" s="209">
        <f t="shared" si="39"/>
        <v>29111.729999999996</v>
      </c>
      <c r="F448" s="209">
        <f t="shared" si="40"/>
        <v>2666.7599999999998</v>
      </c>
      <c r="G448" s="209">
        <f t="shared" si="41"/>
        <v>26444.969999999998</v>
      </c>
      <c r="H448" s="209">
        <f t="shared" si="42"/>
        <v>27778.35</v>
      </c>
      <c r="I448" s="89"/>
    </row>
    <row r="449" spans="1:9" ht="12.75" hidden="1" outlineLevel="1">
      <c r="A449" s="212" t="s">
        <v>477</v>
      </c>
      <c r="B449" s="105">
        <f>40001</f>
        <v>40001</v>
      </c>
      <c r="C449" s="209">
        <v>31778.489999999994</v>
      </c>
      <c r="D449" s="209">
        <v>2666.7599999999998</v>
      </c>
      <c r="E449" s="209">
        <f t="shared" si="39"/>
        <v>29111.729999999996</v>
      </c>
      <c r="F449" s="209">
        <f t="shared" si="40"/>
        <v>2666.7599999999998</v>
      </c>
      <c r="G449" s="209">
        <f t="shared" si="41"/>
        <v>26444.969999999998</v>
      </c>
      <c r="H449" s="209">
        <f t="shared" si="42"/>
        <v>27778.35</v>
      </c>
      <c r="I449" s="89"/>
    </row>
    <row r="450" spans="1:9" ht="12.75" hidden="1" outlineLevel="1">
      <c r="A450" s="212" t="s">
        <v>478</v>
      </c>
      <c r="B450" s="105">
        <f>40001</f>
        <v>40001</v>
      </c>
      <c r="C450" s="209">
        <v>31778.489999999994</v>
      </c>
      <c r="D450" s="209">
        <v>2666.7599999999998</v>
      </c>
      <c r="E450" s="209">
        <f t="shared" si="39"/>
        <v>29111.729999999996</v>
      </c>
      <c r="F450" s="209">
        <f t="shared" si="40"/>
        <v>2666.7599999999998</v>
      </c>
      <c r="G450" s="209">
        <f t="shared" si="41"/>
        <v>26444.969999999998</v>
      </c>
      <c r="H450" s="209">
        <f t="shared" si="42"/>
        <v>27778.35</v>
      </c>
      <c r="I450" s="89"/>
    </row>
    <row r="451" spans="1:9" ht="12.75" hidden="1" outlineLevel="1">
      <c r="A451" s="212" t="s">
        <v>479</v>
      </c>
      <c r="B451" s="105">
        <f>40001</f>
        <v>40001</v>
      </c>
      <c r="C451" s="209">
        <v>31778.489999999994</v>
      </c>
      <c r="D451" s="209">
        <v>2666.7599999999998</v>
      </c>
      <c r="E451" s="209">
        <f t="shared" si="39"/>
        <v>29111.729999999996</v>
      </c>
      <c r="F451" s="209">
        <f t="shared" si="40"/>
        <v>2666.7599999999998</v>
      </c>
      <c r="G451" s="209">
        <f t="shared" si="41"/>
        <v>26444.969999999998</v>
      </c>
      <c r="H451" s="209">
        <f t="shared" si="42"/>
        <v>27778.35</v>
      </c>
      <c r="I451" s="89"/>
    </row>
    <row r="452" spans="1:9" ht="12.75" hidden="1" outlineLevel="1">
      <c r="A452" s="212" t="s">
        <v>480</v>
      </c>
      <c r="B452" s="105">
        <f>40001</f>
        <v>40001</v>
      </c>
      <c r="C452" s="209">
        <v>31778.489999999994</v>
      </c>
      <c r="D452" s="209">
        <v>2666.7599999999998</v>
      </c>
      <c r="E452" s="209">
        <f t="shared" si="39"/>
        <v>29111.729999999996</v>
      </c>
      <c r="F452" s="209">
        <f t="shared" si="40"/>
        <v>2666.7599999999998</v>
      </c>
      <c r="G452" s="209">
        <f t="shared" si="41"/>
        <v>26444.969999999998</v>
      </c>
      <c r="H452" s="209">
        <f t="shared" si="42"/>
        <v>27778.35</v>
      </c>
      <c r="I452" s="89"/>
    </row>
    <row r="453" spans="1:9" ht="12.75" hidden="1" outlineLevel="1">
      <c r="A453" s="212" t="s">
        <v>481</v>
      </c>
      <c r="B453" s="105">
        <f>40001</f>
        <v>40001</v>
      </c>
      <c r="C453" s="209">
        <v>31778.489999999994</v>
      </c>
      <c r="D453" s="209">
        <v>2666.7599999999998</v>
      </c>
      <c r="E453" s="209">
        <f t="shared" si="39"/>
        <v>29111.729999999996</v>
      </c>
      <c r="F453" s="209">
        <f t="shared" si="40"/>
        <v>2666.7599999999998</v>
      </c>
      <c r="G453" s="209">
        <f t="shared" si="41"/>
        <v>26444.969999999998</v>
      </c>
      <c r="H453" s="209">
        <f t="shared" si="42"/>
        <v>27778.35</v>
      </c>
      <c r="I453" s="89"/>
    </row>
    <row r="454" spans="1:9" ht="36" hidden="1" outlineLevel="1">
      <c r="A454" s="907" t="s">
        <v>1161</v>
      </c>
      <c r="B454" s="894">
        <v>143220.34</v>
      </c>
      <c r="C454" s="894">
        <v>134269.09</v>
      </c>
      <c r="D454" s="894">
        <v>7161</v>
      </c>
      <c r="E454" s="209">
        <f t="shared" si="39"/>
        <v>127108.09</v>
      </c>
      <c r="F454" s="209">
        <f aca="true" t="shared" si="43" ref="F454:F517">IF(D454&lt;=E454,D454,E454)</f>
        <v>7161</v>
      </c>
      <c r="G454" s="209">
        <f aca="true" t="shared" si="44" ref="G454:G517">E454-F454</f>
        <v>119947.09</v>
      </c>
      <c r="H454" s="209">
        <f aca="true" t="shared" si="45" ref="H454:H517">(E454+G454)/2</f>
        <v>123527.59</v>
      </c>
      <c r="I454" s="89"/>
    </row>
    <row r="455" spans="1:9" ht="12.75" customHeight="1" hidden="1" outlineLevel="1">
      <c r="A455" s="893" t="s">
        <v>1162</v>
      </c>
      <c r="B455" s="894">
        <v>57109.78</v>
      </c>
      <c r="C455" s="894">
        <v>51398.74</v>
      </c>
      <c r="D455" s="89">
        <v>2855.52</v>
      </c>
      <c r="E455" s="209">
        <f t="shared" si="39"/>
        <v>48543.22</v>
      </c>
      <c r="F455" s="209">
        <f t="shared" si="43"/>
        <v>2855.52</v>
      </c>
      <c r="G455" s="209">
        <f t="shared" si="44"/>
        <v>45687.700000000004</v>
      </c>
      <c r="H455" s="209">
        <f t="shared" si="45"/>
        <v>47115.46000000001</v>
      </c>
      <c r="I455" s="89"/>
    </row>
    <row r="456" spans="1:9" ht="12.75" customHeight="1" hidden="1" outlineLevel="1">
      <c r="A456" s="893" t="s">
        <v>1163</v>
      </c>
      <c r="B456" s="894">
        <v>56563.81</v>
      </c>
      <c r="C456" s="894">
        <v>50907.49</v>
      </c>
      <c r="D456" s="89">
        <v>2828.16</v>
      </c>
      <c r="E456" s="209">
        <f aca="true" t="shared" si="46" ref="E456:E483">C456-D456</f>
        <v>48079.33</v>
      </c>
      <c r="F456" s="209">
        <f t="shared" si="43"/>
        <v>2828.16</v>
      </c>
      <c r="G456" s="209">
        <f t="shared" si="44"/>
        <v>45251.17</v>
      </c>
      <c r="H456" s="209">
        <f t="shared" si="45"/>
        <v>46665.25</v>
      </c>
      <c r="I456" s="89"/>
    </row>
    <row r="457" spans="1:9" ht="12.75" customHeight="1" hidden="1" outlineLevel="1">
      <c r="A457" s="893" t="s">
        <v>1164</v>
      </c>
      <c r="B457" s="894">
        <v>56563.81</v>
      </c>
      <c r="C457" s="894">
        <v>50907.49</v>
      </c>
      <c r="D457" s="89">
        <v>2828.16</v>
      </c>
      <c r="E457" s="209">
        <f t="shared" si="46"/>
        <v>48079.33</v>
      </c>
      <c r="F457" s="209">
        <f t="shared" si="43"/>
        <v>2828.16</v>
      </c>
      <c r="G457" s="209">
        <f t="shared" si="44"/>
        <v>45251.17</v>
      </c>
      <c r="H457" s="209">
        <f t="shared" si="45"/>
        <v>46665.25</v>
      </c>
      <c r="I457" s="89"/>
    </row>
    <row r="458" spans="1:9" ht="12.75" customHeight="1" hidden="1" outlineLevel="1">
      <c r="A458" s="893" t="s">
        <v>1165</v>
      </c>
      <c r="B458" s="894">
        <v>40024.73</v>
      </c>
      <c r="C458" s="894">
        <v>36022.25</v>
      </c>
      <c r="D458" s="89">
        <v>2001.2400000000002</v>
      </c>
      <c r="E458" s="209">
        <f t="shared" si="46"/>
        <v>34021.01</v>
      </c>
      <c r="F458" s="209">
        <f t="shared" si="43"/>
        <v>2001.2400000000002</v>
      </c>
      <c r="G458" s="209">
        <f t="shared" si="44"/>
        <v>32019.77</v>
      </c>
      <c r="H458" s="209">
        <f t="shared" si="45"/>
        <v>33020.39</v>
      </c>
      <c r="I458" s="89"/>
    </row>
    <row r="459" spans="1:9" ht="12.75" customHeight="1" hidden="1" outlineLevel="1">
      <c r="A459" s="893" t="s">
        <v>1166</v>
      </c>
      <c r="B459" s="894">
        <v>40024.73</v>
      </c>
      <c r="C459" s="894">
        <v>36022.25</v>
      </c>
      <c r="D459" s="89">
        <v>2001.2400000000002</v>
      </c>
      <c r="E459" s="209">
        <f t="shared" si="46"/>
        <v>34021.01</v>
      </c>
      <c r="F459" s="209">
        <f t="shared" si="43"/>
        <v>2001.2400000000002</v>
      </c>
      <c r="G459" s="209">
        <f t="shared" si="44"/>
        <v>32019.77</v>
      </c>
      <c r="H459" s="209">
        <f t="shared" si="45"/>
        <v>33020.39</v>
      </c>
      <c r="I459" s="89"/>
    </row>
    <row r="460" spans="1:9" ht="12.75" customHeight="1" hidden="1" outlineLevel="1">
      <c r="A460" s="893" t="s">
        <v>1167</v>
      </c>
      <c r="B460" s="894">
        <v>40024.73</v>
      </c>
      <c r="C460" s="894">
        <v>36022.25</v>
      </c>
      <c r="D460" s="89">
        <v>2001.2400000000002</v>
      </c>
      <c r="E460" s="209">
        <f t="shared" si="46"/>
        <v>34021.01</v>
      </c>
      <c r="F460" s="209">
        <f t="shared" si="43"/>
        <v>2001.2400000000002</v>
      </c>
      <c r="G460" s="209">
        <f t="shared" si="44"/>
        <v>32019.77</v>
      </c>
      <c r="H460" s="209">
        <f t="shared" si="45"/>
        <v>33020.39</v>
      </c>
      <c r="I460" s="89"/>
    </row>
    <row r="461" spans="1:9" ht="12.75" customHeight="1" hidden="1" outlineLevel="1">
      <c r="A461" s="893" t="s">
        <v>1168</v>
      </c>
      <c r="B461" s="894">
        <v>77448.88</v>
      </c>
      <c r="C461" s="894">
        <v>69704.08</v>
      </c>
      <c r="D461" s="89">
        <v>3872.3999999999996</v>
      </c>
      <c r="E461" s="209">
        <f t="shared" si="46"/>
        <v>65831.68000000001</v>
      </c>
      <c r="F461" s="209">
        <f t="shared" si="43"/>
        <v>3872.3999999999996</v>
      </c>
      <c r="G461" s="209">
        <f t="shared" si="44"/>
        <v>61959.280000000006</v>
      </c>
      <c r="H461" s="209">
        <f t="shared" si="45"/>
        <v>63895.48000000001</v>
      </c>
      <c r="I461" s="89"/>
    </row>
    <row r="462" spans="1:9" ht="12.75" customHeight="1" hidden="1" outlineLevel="1">
      <c r="A462" s="893" t="s">
        <v>1169</v>
      </c>
      <c r="B462" s="894">
        <v>77448.88</v>
      </c>
      <c r="C462" s="894">
        <v>69704.08</v>
      </c>
      <c r="D462" s="89">
        <v>3872.3999999999996</v>
      </c>
      <c r="E462" s="209">
        <f t="shared" si="46"/>
        <v>65831.68000000001</v>
      </c>
      <c r="F462" s="209">
        <f t="shared" si="43"/>
        <v>3872.3999999999996</v>
      </c>
      <c r="G462" s="209">
        <f t="shared" si="44"/>
        <v>61959.280000000006</v>
      </c>
      <c r="H462" s="209">
        <f t="shared" si="45"/>
        <v>63895.48000000001</v>
      </c>
      <c r="I462" s="89"/>
    </row>
    <row r="463" spans="1:9" ht="12.75" customHeight="1" hidden="1" outlineLevel="1">
      <c r="A463" s="893" t="s">
        <v>1170</v>
      </c>
      <c r="B463" s="894">
        <v>77448.88</v>
      </c>
      <c r="C463" s="894">
        <v>69704.08</v>
      </c>
      <c r="D463" s="89">
        <v>3872.3999999999996</v>
      </c>
      <c r="E463" s="209">
        <f t="shared" si="46"/>
        <v>65831.68000000001</v>
      </c>
      <c r="F463" s="209">
        <f t="shared" si="43"/>
        <v>3872.3999999999996</v>
      </c>
      <c r="G463" s="209">
        <f t="shared" si="44"/>
        <v>61959.280000000006</v>
      </c>
      <c r="H463" s="209">
        <f t="shared" si="45"/>
        <v>63895.48000000001</v>
      </c>
      <c r="I463" s="89"/>
    </row>
    <row r="464" spans="1:9" ht="12.75" customHeight="1" hidden="1" outlineLevel="1">
      <c r="A464" s="893" t="s">
        <v>1171</v>
      </c>
      <c r="B464" s="894">
        <v>72596.18</v>
      </c>
      <c r="C464" s="894">
        <v>65336.66</v>
      </c>
      <c r="D464" s="89">
        <v>3629.76</v>
      </c>
      <c r="E464" s="209">
        <f t="shared" si="46"/>
        <v>61706.9</v>
      </c>
      <c r="F464" s="209">
        <f t="shared" si="43"/>
        <v>3629.76</v>
      </c>
      <c r="G464" s="209">
        <f t="shared" si="44"/>
        <v>58077.14</v>
      </c>
      <c r="H464" s="209">
        <f t="shared" si="45"/>
        <v>59892.020000000004</v>
      </c>
      <c r="I464" s="89"/>
    </row>
    <row r="465" spans="1:9" ht="12.75" customHeight="1" hidden="1" outlineLevel="1">
      <c r="A465" s="893" t="s">
        <v>1172</v>
      </c>
      <c r="B465" s="894">
        <v>72596.18</v>
      </c>
      <c r="C465" s="894">
        <v>65336.66</v>
      </c>
      <c r="D465" s="89">
        <v>3629.76</v>
      </c>
      <c r="E465" s="209">
        <f t="shared" si="46"/>
        <v>61706.9</v>
      </c>
      <c r="F465" s="209">
        <f t="shared" si="43"/>
        <v>3629.76</v>
      </c>
      <c r="G465" s="209">
        <f t="shared" si="44"/>
        <v>58077.14</v>
      </c>
      <c r="H465" s="209">
        <f t="shared" si="45"/>
        <v>59892.020000000004</v>
      </c>
      <c r="I465" s="89"/>
    </row>
    <row r="466" spans="1:9" ht="38.25" hidden="1" outlineLevel="1">
      <c r="A466" s="908" t="s">
        <v>534</v>
      </c>
      <c r="B466" s="894">
        <v>65061.47</v>
      </c>
      <c r="C466" s="894">
        <v>58555.31</v>
      </c>
      <c r="D466" s="89">
        <v>3253.08</v>
      </c>
      <c r="E466" s="209">
        <f t="shared" si="46"/>
        <v>55302.229999999996</v>
      </c>
      <c r="F466" s="209">
        <f t="shared" si="43"/>
        <v>3253.08</v>
      </c>
      <c r="G466" s="209">
        <f t="shared" si="44"/>
        <v>52049.149999999994</v>
      </c>
      <c r="H466" s="209">
        <f t="shared" si="45"/>
        <v>53675.689999999995</v>
      </c>
      <c r="I466" s="89"/>
    </row>
    <row r="467" spans="1:9" ht="38.25" hidden="1" outlineLevel="1">
      <c r="A467" s="908" t="s">
        <v>535</v>
      </c>
      <c r="B467" s="894">
        <v>3141268.92</v>
      </c>
      <c r="C467" s="894">
        <v>2827142.04</v>
      </c>
      <c r="D467" s="89">
        <v>157063.44</v>
      </c>
      <c r="E467" s="209">
        <f t="shared" si="46"/>
        <v>2670078.6</v>
      </c>
      <c r="F467" s="209">
        <f t="shared" si="43"/>
        <v>157063.44</v>
      </c>
      <c r="G467" s="209">
        <f t="shared" si="44"/>
        <v>2513015.16</v>
      </c>
      <c r="H467" s="209">
        <f t="shared" si="45"/>
        <v>2591546.88</v>
      </c>
      <c r="I467" s="89"/>
    </row>
    <row r="468" spans="1:9" ht="24" hidden="1" outlineLevel="1">
      <c r="A468" s="893" t="s">
        <v>1173</v>
      </c>
      <c r="B468" s="894">
        <v>5226278.11</v>
      </c>
      <c r="C468" s="894">
        <v>4479666.91</v>
      </c>
      <c r="D468" s="89">
        <v>746611.2</v>
      </c>
      <c r="E468" s="209">
        <f t="shared" si="46"/>
        <v>3733055.71</v>
      </c>
      <c r="F468" s="209">
        <f t="shared" si="43"/>
        <v>746611.2</v>
      </c>
      <c r="G468" s="209">
        <f t="shared" si="44"/>
        <v>2986444.51</v>
      </c>
      <c r="H468" s="209">
        <f t="shared" si="45"/>
        <v>3359750.11</v>
      </c>
      <c r="I468" s="89"/>
    </row>
    <row r="469" spans="1:9" ht="24" hidden="1" outlineLevel="1">
      <c r="A469" s="893" t="s">
        <v>1174</v>
      </c>
      <c r="B469" s="894">
        <v>3710537.19</v>
      </c>
      <c r="C469" s="894">
        <v>3180460.47</v>
      </c>
      <c r="D469" s="89">
        <v>530076.72</v>
      </c>
      <c r="E469" s="209">
        <f t="shared" si="46"/>
        <v>2650383.75</v>
      </c>
      <c r="F469" s="209">
        <f t="shared" si="43"/>
        <v>530076.72</v>
      </c>
      <c r="G469" s="209">
        <f t="shared" si="44"/>
        <v>2120307.0300000003</v>
      </c>
      <c r="H469" s="209">
        <f t="shared" si="45"/>
        <v>2385345.39</v>
      </c>
      <c r="I469" s="89"/>
    </row>
    <row r="470" spans="1:9" ht="36" hidden="1" outlineLevel="1">
      <c r="A470" s="893" t="s">
        <v>1175</v>
      </c>
      <c r="B470" s="894">
        <v>4370537.06</v>
      </c>
      <c r="C470" s="894">
        <v>3746174.66</v>
      </c>
      <c r="D470" s="89">
        <v>624362.3999999999</v>
      </c>
      <c r="E470" s="209">
        <f t="shared" si="46"/>
        <v>3121812.2600000002</v>
      </c>
      <c r="F470" s="209">
        <f t="shared" si="43"/>
        <v>624362.3999999999</v>
      </c>
      <c r="G470" s="209">
        <f t="shared" si="44"/>
        <v>2497449.8600000003</v>
      </c>
      <c r="H470" s="209">
        <f t="shared" si="45"/>
        <v>2809631.0600000005</v>
      </c>
      <c r="I470" s="89"/>
    </row>
    <row r="471" spans="1:9" ht="24" hidden="1" outlineLevel="1">
      <c r="A471" s="893" t="s">
        <v>1176</v>
      </c>
      <c r="B471" s="894">
        <v>3331242.65</v>
      </c>
      <c r="C471" s="894">
        <v>2855350.85</v>
      </c>
      <c r="D471" s="89">
        <v>475891.80000000005</v>
      </c>
      <c r="E471" s="209">
        <f t="shared" si="46"/>
        <v>2379459.05</v>
      </c>
      <c r="F471" s="209">
        <f t="shared" si="43"/>
        <v>475891.80000000005</v>
      </c>
      <c r="G471" s="209">
        <f t="shared" si="44"/>
        <v>1903567.2499999998</v>
      </c>
      <c r="H471" s="209">
        <f t="shared" si="45"/>
        <v>2141513.15</v>
      </c>
      <c r="I471" s="89"/>
    </row>
    <row r="472" spans="1:9" ht="36" hidden="1" outlineLevel="1">
      <c r="A472" s="893" t="s">
        <v>1179</v>
      </c>
      <c r="B472" s="894">
        <v>68259.15</v>
      </c>
      <c r="C472" s="894">
        <v>61433.31</v>
      </c>
      <c r="D472" s="89">
        <v>3412.92</v>
      </c>
      <c r="E472" s="209">
        <f t="shared" si="46"/>
        <v>58020.39</v>
      </c>
      <c r="F472" s="209">
        <f t="shared" si="43"/>
        <v>3412.92</v>
      </c>
      <c r="G472" s="209">
        <f t="shared" si="44"/>
        <v>54607.47</v>
      </c>
      <c r="H472" s="209">
        <f t="shared" si="45"/>
        <v>56313.93</v>
      </c>
      <c r="I472" s="89"/>
    </row>
    <row r="473" spans="1:9" ht="36" hidden="1" outlineLevel="1">
      <c r="A473" s="893" t="s">
        <v>1180</v>
      </c>
      <c r="B473" s="894">
        <v>68259.15</v>
      </c>
      <c r="C473" s="894">
        <v>61433.31</v>
      </c>
      <c r="D473" s="89">
        <v>3412.92</v>
      </c>
      <c r="E473" s="209">
        <f t="shared" si="46"/>
        <v>58020.39</v>
      </c>
      <c r="F473" s="209">
        <f t="shared" si="43"/>
        <v>3412.92</v>
      </c>
      <c r="G473" s="209">
        <f t="shared" si="44"/>
        <v>54607.47</v>
      </c>
      <c r="H473" s="209">
        <f t="shared" si="45"/>
        <v>56313.93</v>
      </c>
      <c r="I473" s="89"/>
    </row>
    <row r="474" spans="1:9" ht="36" hidden="1" outlineLevel="1">
      <c r="A474" s="893" t="s">
        <v>1181</v>
      </c>
      <c r="B474" s="894">
        <v>2300635.64</v>
      </c>
      <c r="C474" s="894">
        <v>2166431.92</v>
      </c>
      <c r="D474" s="89">
        <v>115031.76</v>
      </c>
      <c r="E474" s="209">
        <f t="shared" si="46"/>
        <v>2051400.16</v>
      </c>
      <c r="F474" s="209">
        <f t="shared" si="43"/>
        <v>115031.76</v>
      </c>
      <c r="G474" s="209">
        <f t="shared" si="44"/>
        <v>1936368.4</v>
      </c>
      <c r="H474" s="209">
        <f t="shared" si="45"/>
        <v>1993884.2799999998</v>
      </c>
      <c r="I474" s="89"/>
    </row>
    <row r="475" spans="1:9" ht="36" hidden="1" outlineLevel="1">
      <c r="A475" s="893" t="s">
        <v>1182</v>
      </c>
      <c r="B475" s="894">
        <v>1477488.86</v>
      </c>
      <c r="C475" s="894">
        <v>1391302.06</v>
      </c>
      <c r="D475" s="89">
        <v>73874.4</v>
      </c>
      <c r="E475" s="209">
        <f t="shared" si="46"/>
        <v>1317427.6600000001</v>
      </c>
      <c r="F475" s="209">
        <f t="shared" si="43"/>
        <v>73874.4</v>
      </c>
      <c r="G475" s="209">
        <f t="shared" si="44"/>
        <v>1243553.2600000002</v>
      </c>
      <c r="H475" s="209">
        <f t="shared" si="45"/>
        <v>1280490.4600000002</v>
      </c>
      <c r="I475" s="89"/>
    </row>
    <row r="476" spans="1:9" ht="36" hidden="1" outlineLevel="1">
      <c r="A476" s="893" t="s">
        <v>1183</v>
      </c>
      <c r="B476" s="894">
        <v>70682.72</v>
      </c>
      <c r="C476" s="894">
        <v>55536.44</v>
      </c>
      <c r="D476" s="89">
        <v>10097.52</v>
      </c>
      <c r="E476" s="209">
        <f t="shared" si="46"/>
        <v>45438.92</v>
      </c>
      <c r="F476" s="209">
        <f t="shared" si="43"/>
        <v>10097.52</v>
      </c>
      <c r="G476" s="209">
        <f t="shared" si="44"/>
        <v>35341.399999999994</v>
      </c>
      <c r="H476" s="209">
        <f t="shared" si="45"/>
        <v>40390.159999999996</v>
      </c>
      <c r="I476" s="89"/>
    </row>
    <row r="477" spans="1:9" ht="36" hidden="1" outlineLevel="1">
      <c r="A477" s="893" t="s">
        <v>1184</v>
      </c>
      <c r="B477" s="894">
        <v>202850.77</v>
      </c>
      <c r="C477" s="894">
        <v>182565.73</v>
      </c>
      <c r="D477" s="89">
        <v>10142.52</v>
      </c>
      <c r="E477" s="209">
        <f t="shared" si="46"/>
        <v>172423.21000000002</v>
      </c>
      <c r="F477" s="209">
        <f t="shared" si="43"/>
        <v>10142.52</v>
      </c>
      <c r="G477" s="209">
        <f t="shared" si="44"/>
        <v>162280.69000000003</v>
      </c>
      <c r="H477" s="209">
        <f t="shared" si="45"/>
        <v>167351.95</v>
      </c>
      <c r="I477" s="89"/>
    </row>
    <row r="478" spans="1:9" ht="36" hidden="1" outlineLevel="1">
      <c r="A478" s="893" t="s">
        <v>1185</v>
      </c>
      <c r="B478" s="894">
        <v>202850.77</v>
      </c>
      <c r="C478" s="894">
        <v>182565.73</v>
      </c>
      <c r="D478" s="89">
        <v>10142.52</v>
      </c>
      <c r="E478" s="209">
        <f t="shared" si="46"/>
        <v>172423.21000000002</v>
      </c>
      <c r="F478" s="209">
        <f t="shared" si="43"/>
        <v>10142.52</v>
      </c>
      <c r="G478" s="209">
        <f t="shared" si="44"/>
        <v>162280.69000000003</v>
      </c>
      <c r="H478" s="209">
        <f t="shared" si="45"/>
        <v>167351.95</v>
      </c>
      <c r="I478" s="89"/>
    </row>
    <row r="479" spans="1:9" ht="36" hidden="1" outlineLevel="1">
      <c r="A479" s="893" t="s">
        <v>1186</v>
      </c>
      <c r="B479" s="894">
        <v>202850.77</v>
      </c>
      <c r="C479" s="894">
        <v>182565.73</v>
      </c>
      <c r="D479" s="89">
        <v>10142.52</v>
      </c>
      <c r="E479" s="209">
        <f t="shared" si="46"/>
        <v>172423.21000000002</v>
      </c>
      <c r="F479" s="209">
        <f t="shared" si="43"/>
        <v>10142.52</v>
      </c>
      <c r="G479" s="209">
        <f t="shared" si="44"/>
        <v>162280.69000000003</v>
      </c>
      <c r="H479" s="209">
        <f t="shared" si="45"/>
        <v>167351.95</v>
      </c>
      <c r="I479" s="89"/>
    </row>
    <row r="480" spans="1:9" ht="36" hidden="1" outlineLevel="1">
      <c r="A480" s="893" t="s">
        <v>1187</v>
      </c>
      <c r="B480" s="894">
        <v>202850.77</v>
      </c>
      <c r="C480" s="894">
        <v>182565.73</v>
      </c>
      <c r="D480" s="89">
        <v>10142.52</v>
      </c>
      <c r="E480" s="209">
        <f t="shared" si="46"/>
        <v>172423.21000000002</v>
      </c>
      <c r="F480" s="209">
        <f t="shared" si="43"/>
        <v>10142.52</v>
      </c>
      <c r="G480" s="209">
        <f t="shared" si="44"/>
        <v>162280.69000000003</v>
      </c>
      <c r="H480" s="209">
        <f t="shared" si="45"/>
        <v>167351.95</v>
      </c>
      <c r="I480" s="89"/>
    </row>
    <row r="481" spans="1:9" ht="36" hidden="1" outlineLevel="1">
      <c r="A481" s="893" t="s">
        <v>1188</v>
      </c>
      <c r="B481" s="894">
        <v>202850.77</v>
      </c>
      <c r="C481" s="894">
        <v>182565.73</v>
      </c>
      <c r="D481" s="89">
        <v>10142.52</v>
      </c>
      <c r="E481" s="209">
        <f t="shared" si="46"/>
        <v>172423.21000000002</v>
      </c>
      <c r="F481" s="209">
        <f t="shared" si="43"/>
        <v>10142.52</v>
      </c>
      <c r="G481" s="209">
        <f t="shared" si="44"/>
        <v>162280.69000000003</v>
      </c>
      <c r="H481" s="209">
        <f t="shared" si="45"/>
        <v>167351.95</v>
      </c>
      <c r="I481" s="89"/>
    </row>
    <row r="482" spans="1:9" ht="36" hidden="1" outlineLevel="1">
      <c r="A482" s="893" t="s">
        <v>1189</v>
      </c>
      <c r="B482" s="894">
        <v>40001</v>
      </c>
      <c r="C482" s="894">
        <v>37834.29</v>
      </c>
      <c r="D482" s="894">
        <v>2000.04</v>
      </c>
      <c r="E482" s="209">
        <f t="shared" si="46"/>
        <v>35834.25</v>
      </c>
      <c r="F482" s="209">
        <f t="shared" si="43"/>
        <v>2000.04</v>
      </c>
      <c r="G482" s="209">
        <f t="shared" si="44"/>
        <v>33834.21</v>
      </c>
      <c r="H482" s="209">
        <f t="shared" si="45"/>
        <v>34834.229999999996</v>
      </c>
      <c r="I482" s="89"/>
    </row>
    <row r="483" spans="1:9" ht="36" hidden="1" outlineLevel="1">
      <c r="A483" s="893" t="s">
        <v>1190</v>
      </c>
      <c r="B483" s="894">
        <v>40001</v>
      </c>
      <c r="C483" s="894">
        <v>37834.29</v>
      </c>
      <c r="D483" s="894">
        <v>2000.04</v>
      </c>
      <c r="E483" s="209">
        <f t="shared" si="46"/>
        <v>35834.25</v>
      </c>
      <c r="F483" s="209">
        <f t="shared" si="43"/>
        <v>2000.04</v>
      </c>
      <c r="G483" s="209">
        <f t="shared" si="44"/>
        <v>33834.21</v>
      </c>
      <c r="H483" s="209">
        <f t="shared" si="45"/>
        <v>34834.229999999996</v>
      </c>
      <c r="I483" s="89"/>
    </row>
    <row r="484" spans="1:9" ht="36" hidden="1" outlineLevel="1">
      <c r="A484" s="893" t="s">
        <v>1191</v>
      </c>
      <c r="B484" s="894">
        <v>40001</v>
      </c>
      <c r="C484" s="894">
        <v>37835.29</v>
      </c>
      <c r="D484" s="894">
        <v>2000.04</v>
      </c>
      <c r="E484" s="209">
        <f>C484-D484</f>
        <v>35835.25</v>
      </c>
      <c r="F484" s="209">
        <f t="shared" si="43"/>
        <v>2000.04</v>
      </c>
      <c r="G484" s="209">
        <f t="shared" si="44"/>
        <v>33835.21</v>
      </c>
      <c r="H484" s="209">
        <f t="shared" si="45"/>
        <v>34835.229999999996</v>
      </c>
      <c r="I484" s="89"/>
    </row>
    <row r="485" spans="1:9" ht="36" hidden="1" outlineLevel="1">
      <c r="A485" s="893" t="s">
        <v>1192</v>
      </c>
      <c r="B485" s="894">
        <v>40001</v>
      </c>
      <c r="C485" s="894">
        <v>37836.29</v>
      </c>
      <c r="D485" s="894">
        <v>2000.04</v>
      </c>
      <c r="E485" s="209">
        <f>C485-D485</f>
        <v>35836.25</v>
      </c>
      <c r="F485" s="209">
        <f t="shared" si="43"/>
        <v>2000.04</v>
      </c>
      <c r="G485" s="209">
        <f t="shared" si="44"/>
        <v>33836.21</v>
      </c>
      <c r="H485" s="209">
        <f t="shared" si="45"/>
        <v>34836.229999999996</v>
      </c>
      <c r="I485" s="89"/>
    </row>
    <row r="486" spans="1:9" ht="36" hidden="1" outlineLevel="1">
      <c r="A486" s="893" t="s">
        <v>1193</v>
      </c>
      <c r="B486" s="894">
        <v>47154.35</v>
      </c>
      <c r="C486" s="894">
        <v>32558.99</v>
      </c>
      <c r="D486" s="894">
        <v>6736.32</v>
      </c>
      <c r="E486" s="209">
        <f>C486-D486</f>
        <v>25822.670000000002</v>
      </c>
      <c r="F486" s="209">
        <f t="shared" si="43"/>
        <v>6736.32</v>
      </c>
      <c r="G486" s="209">
        <f t="shared" si="44"/>
        <v>19086.350000000002</v>
      </c>
      <c r="H486" s="209">
        <f t="shared" si="45"/>
        <v>22454.510000000002</v>
      </c>
      <c r="I486" s="89"/>
    </row>
    <row r="487" spans="1:9" ht="36" hidden="1" outlineLevel="1">
      <c r="A487" s="893" t="s">
        <v>1194</v>
      </c>
      <c r="B487" s="894">
        <v>47154.34</v>
      </c>
      <c r="C487" s="894">
        <v>32558.98</v>
      </c>
      <c r="D487" s="894">
        <v>6736.32</v>
      </c>
      <c r="E487" s="209">
        <f>C487-D487</f>
        <v>25822.66</v>
      </c>
      <c r="F487" s="209">
        <f t="shared" si="43"/>
        <v>6736.32</v>
      </c>
      <c r="G487" s="209">
        <f t="shared" si="44"/>
        <v>19086.34</v>
      </c>
      <c r="H487" s="209">
        <f t="shared" si="45"/>
        <v>22454.5</v>
      </c>
      <c r="I487" s="89"/>
    </row>
    <row r="488" spans="1:9" ht="36" hidden="1" outlineLevel="1">
      <c r="A488" s="893" t="s">
        <v>1195</v>
      </c>
      <c r="B488" s="894">
        <v>40001</v>
      </c>
      <c r="C488" s="894">
        <v>37835.29</v>
      </c>
      <c r="D488" s="894">
        <v>2000.04</v>
      </c>
      <c r="E488" s="209">
        <f>C488-D488</f>
        <v>35835.25</v>
      </c>
      <c r="F488" s="209">
        <f t="shared" si="43"/>
        <v>2000.04</v>
      </c>
      <c r="G488" s="209">
        <f t="shared" si="44"/>
        <v>33835.21</v>
      </c>
      <c r="H488" s="209">
        <f t="shared" si="45"/>
        <v>34835.229999999996</v>
      </c>
      <c r="I488" s="89"/>
    </row>
    <row r="489" spans="1:9" ht="36" hidden="1" outlineLevel="1">
      <c r="A489" s="893" t="s">
        <v>1196</v>
      </c>
      <c r="B489" s="894">
        <v>40001</v>
      </c>
      <c r="C489" s="894">
        <v>37835.29</v>
      </c>
      <c r="D489" s="894">
        <v>2000.04</v>
      </c>
      <c r="E489" s="209">
        <f aca="true" t="shared" si="47" ref="E489:E509">C489-D489</f>
        <v>35835.25</v>
      </c>
      <c r="F489" s="209">
        <f t="shared" si="43"/>
        <v>2000.04</v>
      </c>
      <c r="G489" s="209">
        <f t="shared" si="44"/>
        <v>33835.21</v>
      </c>
      <c r="H489" s="209">
        <f t="shared" si="45"/>
        <v>34835.229999999996</v>
      </c>
      <c r="I489" s="89"/>
    </row>
    <row r="490" spans="1:9" ht="36" hidden="1" outlineLevel="1">
      <c r="A490" s="893" t="s">
        <v>1197</v>
      </c>
      <c r="B490" s="894">
        <v>40001</v>
      </c>
      <c r="C490" s="894">
        <v>37835.29</v>
      </c>
      <c r="D490" s="894">
        <v>2000.04</v>
      </c>
      <c r="E490" s="209">
        <f t="shared" si="47"/>
        <v>35835.25</v>
      </c>
      <c r="F490" s="209">
        <f t="shared" si="43"/>
        <v>2000.04</v>
      </c>
      <c r="G490" s="209">
        <f t="shared" si="44"/>
        <v>33835.21</v>
      </c>
      <c r="H490" s="209">
        <f t="shared" si="45"/>
        <v>34835.229999999996</v>
      </c>
      <c r="I490" s="89"/>
    </row>
    <row r="491" spans="1:9" ht="36" hidden="1" outlineLevel="1">
      <c r="A491" s="893" t="s">
        <v>1198</v>
      </c>
      <c r="B491" s="894">
        <v>40001</v>
      </c>
      <c r="C491" s="894">
        <v>37835.29</v>
      </c>
      <c r="D491" s="894">
        <v>2000.04</v>
      </c>
      <c r="E491" s="209">
        <f t="shared" si="47"/>
        <v>35835.25</v>
      </c>
      <c r="F491" s="209">
        <f t="shared" si="43"/>
        <v>2000.04</v>
      </c>
      <c r="G491" s="209">
        <f t="shared" si="44"/>
        <v>33835.21</v>
      </c>
      <c r="H491" s="209">
        <f t="shared" si="45"/>
        <v>34835.229999999996</v>
      </c>
      <c r="I491" s="89"/>
    </row>
    <row r="492" spans="1:9" ht="36" hidden="1" outlineLevel="1">
      <c r="A492" s="893" t="s">
        <v>1199</v>
      </c>
      <c r="B492" s="894">
        <v>46308.31</v>
      </c>
      <c r="C492" s="894">
        <v>41677.51</v>
      </c>
      <c r="D492" s="89">
        <v>2315.3999999999996</v>
      </c>
      <c r="E492" s="209">
        <f t="shared" si="47"/>
        <v>39362.11</v>
      </c>
      <c r="F492" s="209">
        <f t="shared" si="43"/>
        <v>2315.3999999999996</v>
      </c>
      <c r="G492" s="209">
        <f t="shared" si="44"/>
        <v>37046.71</v>
      </c>
      <c r="H492" s="209">
        <f t="shared" si="45"/>
        <v>38204.41</v>
      </c>
      <c r="I492" s="89"/>
    </row>
    <row r="493" spans="1:9" ht="36" hidden="1" outlineLevel="1">
      <c r="A493" s="893" t="s">
        <v>1200</v>
      </c>
      <c r="B493" s="894">
        <v>46308.31</v>
      </c>
      <c r="C493" s="894">
        <v>41677.51</v>
      </c>
      <c r="D493" s="89">
        <v>2315.3999999999996</v>
      </c>
      <c r="E493" s="209">
        <f t="shared" si="47"/>
        <v>39362.11</v>
      </c>
      <c r="F493" s="209">
        <f t="shared" si="43"/>
        <v>2315.3999999999996</v>
      </c>
      <c r="G493" s="209">
        <f t="shared" si="44"/>
        <v>37046.71</v>
      </c>
      <c r="H493" s="209">
        <f t="shared" si="45"/>
        <v>38204.41</v>
      </c>
      <c r="I493" s="89"/>
    </row>
    <row r="494" spans="1:9" ht="36" hidden="1" outlineLevel="1">
      <c r="A494" s="893" t="s">
        <v>1201</v>
      </c>
      <c r="B494" s="894">
        <v>46308.31</v>
      </c>
      <c r="C494" s="894">
        <v>41677.51</v>
      </c>
      <c r="D494" s="89">
        <v>2315.3999999999996</v>
      </c>
      <c r="E494" s="209">
        <f t="shared" si="47"/>
        <v>39362.11</v>
      </c>
      <c r="F494" s="209">
        <f t="shared" si="43"/>
        <v>2315.3999999999996</v>
      </c>
      <c r="G494" s="209">
        <f t="shared" si="44"/>
        <v>37046.71</v>
      </c>
      <c r="H494" s="209">
        <f t="shared" si="45"/>
        <v>38204.41</v>
      </c>
      <c r="I494" s="89"/>
    </row>
    <row r="495" spans="1:9" ht="36" hidden="1" outlineLevel="1">
      <c r="A495" s="893" t="s">
        <v>1202</v>
      </c>
      <c r="B495" s="894">
        <v>46308.31</v>
      </c>
      <c r="C495" s="894">
        <v>41677.51</v>
      </c>
      <c r="D495" s="89">
        <v>2315.3999999999996</v>
      </c>
      <c r="E495" s="209">
        <f t="shared" si="47"/>
        <v>39362.11</v>
      </c>
      <c r="F495" s="209">
        <f t="shared" si="43"/>
        <v>2315.3999999999996</v>
      </c>
      <c r="G495" s="209">
        <f t="shared" si="44"/>
        <v>37046.71</v>
      </c>
      <c r="H495" s="209">
        <f t="shared" si="45"/>
        <v>38204.41</v>
      </c>
      <c r="I495" s="89"/>
    </row>
    <row r="496" spans="1:9" ht="36" hidden="1" outlineLevel="1">
      <c r="A496" s="893" t="s">
        <v>1203</v>
      </c>
      <c r="B496" s="894">
        <v>42145.01</v>
      </c>
      <c r="C496" s="894">
        <v>37930.61</v>
      </c>
      <c r="D496" s="89">
        <v>2107.2</v>
      </c>
      <c r="E496" s="209">
        <f t="shared" si="47"/>
        <v>35823.41</v>
      </c>
      <c r="F496" s="209">
        <f t="shared" si="43"/>
        <v>2107.2</v>
      </c>
      <c r="G496" s="209">
        <f t="shared" si="44"/>
        <v>33716.21000000001</v>
      </c>
      <c r="H496" s="209">
        <f t="shared" si="45"/>
        <v>34769.810000000005</v>
      </c>
      <c r="I496" s="89"/>
    </row>
    <row r="497" spans="1:9" ht="36" hidden="1" outlineLevel="1">
      <c r="A497" s="893" t="s">
        <v>1204</v>
      </c>
      <c r="B497" s="894">
        <v>42145.01</v>
      </c>
      <c r="C497" s="894">
        <v>37930.61</v>
      </c>
      <c r="D497" s="89">
        <v>2107.2</v>
      </c>
      <c r="E497" s="209">
        <f t="shared" si="47"/>
        <v>35823.41</v>
      </c>
      <c r="F497" s="209">
        <f t="shared" si="43"/>
        <v>2107.2</v>
      </c>
      <c r="G497" s="209">
        <f t="shared" si="44"/>
        <v>33716.21000000001</v>
      </c>
      <c r="H497" s="209">
        <f t="shared" si="45"/>
        <v>34769.810000000005</v>
      </c>
      <c r="I497" s="89"/>
    </row>
    <row r="498" spans="1:9" ht="36" hidden="1" outlineLevel="1">
      <c r="A498" s="893" t="s">
        <v>1205</v>
      </c>
      <c r="B498" s="894">
        <v>2576628.92</v>
      </c>
      <c r="C498" s="894">
        <v>2426325.62</v>
      </c>
      <c r="D498" s="89">
        <v>128831.40000000001</v>
      </c>
      <c r="E498" s="209">
        <f t="shared" si="47"/>
        <v>2297494.22</v>
      </c>
      <c r="F498" s="209">
        <f t="shared" si="43"/>
        <v>128831.40000000001</v>
      </c>
      <c r="G498" s="209">
        <f t="shared" si="44"/>
        <v>2168662.8200000003</v>
      </c>
      <c r="H498" s="209">
        <f t="shared" si="45"/>
        <v>2233078.5200000005</v>
      </c>
      <c r="I498" s="89"/>
    </row>
    <row r="499" spans="1:9" ht="36" hidden="1" outlineLevel="1">
      <c r="A499" s="893" t="s">
        <v>1206</v>
      </c>
      <c r="B499" s="894">
        <v>2576628.92</v>
      </c>
      <c r="C499" s="894">
        <v>2426325.62</v>
      </c>
      <c r="D499" s="89">
        <v>128831.40000000001</v>
      </c>
      <c r="E499" s="209">
        <f t="shared" si="47"/>
        <v>2297494.22</v>
      </c>
      <c r="F499" s="209">
        <f t="shared" si="43"/>
        <v>128831.40000000001</v>
      </c>
      <c r="G499" s="209">
        <f t="shared" si="44"/>
        <v>2168662.8200000003</v>
      </c>
      <c r="H499" s="209">
        <f t="shared" si="45"/>
        <v>2233078.5200000005</v>
      </c>
      <c r="I499" s="89"/>
    </row>
    <row r="500" spans="1:9" ht="36" hidden="1" outlineLevel="1">
      <c r="A500" s="893" t="s">
        <v>1207</v>
      </c>
      <c r="B500" s="894">
        <v>1821201.33</v>
      </c>
      <c r="C500" s="894">
        <v>1639081.17</v>
      </c>
      <c r="D500" s="89">
        <v>91060.08</v>
      </c>
      <c r="E500" s="209">
        <f t="shared" si="47"/>
        <v>1548021.0899999999</v>
      </c>
      <c r="F500" s="209">
        <f t="shared" si="43"/>
        <v>91060.08</v>
      </c>
      <c r="G500" s="209">
        <f t="shared" si="44"/>
        <v>1456961.0099999998</v>
      </c>
      <c r="H500" s="209">
        <f t="shared" si="45"/>
        <v>1502491.0499999998</v>
      </c>
      <c r="I500" s="89"/>
    </row>
    <row r="501" spans="1:9" ht="36" hidden="1" outlineLevel="1">
      <c r="A501" s="893" t="s">
        <v>1208</v>
      </c>
      <c r="B501" s="894">
        <v>1821201.33</v>
      </c>
      <c r="C501" s="894">
        <v>1639081.17</v>
      </c>
      <c r="D501" s="89">
        <v>91060.08</v>
      </c>
      <c r="E501" s="209">
        <f t="shared" si="47"/>
        <v>1548021.0899999999</v>
      </c>
      <c r="F501" s="209">
        <f t="shared" si="43"/>
        <v>91060.08</v>
      </c>
      <c r="G501" s="209">
        <f t="shared" si="44"/>
        <v>1456961.0099999998</v>
      </c>
      <c r="H501" s="209">
        <f t="shared" si="45"/>
        <v>1502491.0499999998</v>
      </c>
      <c r="I501" s="89"/>
    </row>
    <row r="502" spans="1:9" ht="36" hidden="1" outlineLevel="1">
      <c r="A502" s="893" t="s">
        <v>1209</v>
      </c>
      <c r="B502" s="894">
        <v>1948405.13</v>
      </c>
      <c r="C502" s="894">
        <v>1753564.73</v>
      </c>
      <c r="D502" s="89">
        <v>97420.20000000001</v>
      </c>
      <c r="E502" s="209">
        <f t="shared" si="47"/>
        <v>1656144.53</v>
      </c>
      <c r="F502" s="209">
        <f t="shared" si="43"/>
        <v>97420.20000000001</v>
      </c>
      <c r="G502" s="209">
        <f t="shared" si="44"/>
        <v>1558724.33</v>
      </c>
      <c r="H502" s="209">
        <f t="shared" si="45"/>
        <v>1607434.4300000002</v>
      </c>
      <c r="I502" s="89"/>
    </row>
    <row r="503" spans="1:9" ht="36" hidden="1" outlineLevel="1">
      <c r="A503" s="893" t="s">
        <v>1210</v>
      </c>
      <c r="B503" s="894">
        <v>2312002.81</v>
      </c>
      <c r="C503" s="894">
        <v>2080802.41</v>
      </c>
      <c r="D503" s="89">
        <v>115600.20000000001</v>
      </c>
      <c r="E503" s="209">
        <f t="shared" si="47"/>
        <v>1965202.21</v>
      </c>
      <c r="F503" s="209">
        <f t="shared" si="43"/>
        <v>115600.20000000001</v>
      </c>
      <c r="G503" s="209">
        <f t="shared" si="44"/>
        <v>1849602.01</v>
      </c>
      <c r="H503" s="209">
        <f t="shared" si="45"/>
        <v>1907402.1099999999</v>
      </c>
      <c r="I503" s="89"/>
    </row>
    <row r="504" spans="1:9" ht="36" hidden="1" outlineLevel="1">
      <c r="A504" s="893" t="s">
        <v>1211</v>
      </c>
      <c r="B504" s="894">
        <v>1839541.18</v>
      </c>
      <c r="C504" s="894">
        <v>1655587.18</v>
      </c>
      <c r="D504" s="89">
        <v>91977</v>
      </c>
      <c r="E504" s="209">
        <f t="shared" si="47"/>
        <v>1563610.18</v>
      </c>
      <c r="F504" s="209">
        <f t="shared" si="43"/>
        <v>91977</v>
      </c>
      <c r="G504" s="209">
        <f t="shared" si="44"/>
        <v>1471633.18</v>
      </c>
      <c r="H504" s="209">
        <f t="shared" si="45"/>
        <v>1517621.68</v>
      </c>
      <c r="I504" s="89"/>
    </row>
    <row r="505" spans="1:9" ht="36" hidden="1" outlineLevel="1">
      <c r="A505" s="893" t="s">
        <v>1212</v>
      </c>
      <c r="B505" s="894">
        <v>1839541.18</v>
      </c>
      <c r="C505" s="894">
        <v>1655587.18</v>
      </c>
      <c r="D505" s="89">
        <v>91977</v>
      </c>
      <c r="E505" s="209">
        <f t="shared" si="47"/>
        <v>1563610.18</v>
      </c>
      <c r="F505" s="209">
        <f t="shared" si="43"/>
        <v>91977</v>
      </c>
      <c r="G505" s="209">
        <f t="shared" si="44"/>
        <v>1471633.18</v>
      </c>
      <c r="H505" s="209">
        <f t="shared" si="45"/>
        <v>1517621.68</v>
      </c>
      <c r="I505" s="89"/>
    </row>
    <row r="506" spans="1:9" ht="48" hidden="1" outlineLevel="1">
      <c r="A506" s="893" t="s">
        <v>1213</v>
      </c>
      <c r="B506" s="894">
        <v>2853357.31</v>
      </c>
      <c r="C506" s="894">
        <v>2568021.55</v>
      </c>
      <c r="D506" s="89">
        <v>142667.88</v>
      </c>
      <c r="E506" s="209">
        <f t="shared" si="47"/>
        <v>2425353.67</v>
      </c>
      <c r="F506" s="209">
        <f t="shared" si="43"/>
        <v>142667.88</v>
      </c>
      <c r="G506" s="209">
        <f t="shared" si="44"/>
        <v>2282685.79</v>
      </c>
      <c r="H506" s="209">
        <f t="shared" si="45"/>
        <v>2354019.73</v>
      </c>
      <c r="I506" s="89"/>
    </row>
    <row r="507" spans="1:9" ht="48" hidden="1" outlineLevel="1">
      <c r="A507" s="893" t="s">
        <v>1214</v>
      </c>
      <c r="B507" s="894">
        <v>2853357.31</v>
      </c>
      <c r="C507" s="894">
        <v>2568021.55</v>
      </c>
      <c r="D507" s="89">
        <v>142667.88</v>
      </c>
      <c r="E507" s="209">
        <f t="shared" si="47"/>
        <v>2425353.67</v>
      </c>
      <c r="F507" s="209">
        <f t="shared" si="43"/>
        <v>142667.88</v>
      </c>
      <c r="G507" s="209">
        <f t="shared" si="44"/>
        <v>2282685.79</v>
      </c>
      <c r="H507" s="209">
        <f t="shared" si="45"/>
        <v>2354019.73</v>
      </c>
      <c r="I507" s="89"/>
    </row>
    <row r="508" spans="1:9" ht="36" hidden="1" outlineLevel="1">
      <c r="A508" s="893" t="s">
        <v>1215</v>
      </c>
      <c r="B508" s="894">
        <v>809760.73</v>
      </c>
      <c r="C508" s="894">
        <v>728166.94</v>
      </c>
      <c r="D508" s="894">
        <v>41000.520000000004</v>
      </c>
      <c r="E508" s="209">
        <f t="shared" si="47"/>
        <v>687166.4199999999</v>
      </c>
      <c r="F508" s="209">
        <f t="shared" si="43"/>
        <v>41000.520000000004</v>
      </c>
      <c r="G508" s="209">
        <f t="shared" si="44"/>
        <v>646165.8999999999</v>
      </c>
      <c r="H508" s="209">
        <f t="shared" si="45"/>
        <v>666666.1599999999</v>
      </c>
      <c r="I508" s="89"/>
    </row>
    <row r="509" spans="1:9" ht="36" hidden="1" outlineLevel="1">
      <c r="A509" s="893" t="s">
        <v>1216</v>
      </c>
      <c r="B509" s="894">
        <v>809760.73</v>
      </c>
      <c r="C509" s="894">
        <v>728166.94</v>
      </c>
      <c r="D509" s="894">
        <v>41000.520000000004</v>
      </c>
      <c r="E509" s="209">
        <f t="shared" si="47"/>
        <v>687166.4199999999</v>
      </c>
      <c r="F509" s="209">
        <f t="shared" si="43"/>
        <v>41000.520000000004</v>
      </c>
      <c r="G509" s="209">
        <f t="shared" si="44"/>
        <v>646165.8999999999</v>
      </c>
      <c r="H509" s="209">
        <f t="shared" si="45"/>
        <v>666666.1599999999</v>
      </c>
      <c r="I509" s="89"/>
    </row>
    <row r="510" spans="1:9" ht="36" hidden="1" outlineLevel="1">
      <c r="A510" s="893" t="s">
        <v>1217</v>
      </c>
      <c r="B510" s="894">
        <v>40001</v>
      </c>
      <c r="C510" s="894">
        <v>37835.29</v>
      </c>
      <c r="D510" s="894">
        <v>2000.04</v>
      </c>
      <c r="E510" s="209">
        <f aca="true" t="shared" si="48" ref="E510:E521">C510-D510</f>
        <v>35835.25</v>
      </c>
      <c r="F510" s="209">
        <f t="shared" si="43"/>
        <v>2000.04</v>
      </c>
      <c r="G510" s="209">
        <f t="shared" si="44"/>
        <v>33835.21</v>
      </c>
      <c r="H510" s="209">
        <f t="shared" si="45"/>
        <v>34835.229999999996</v>
      </c>
      <c r="I510" s="89"/>
    </row>
    <row r="511" spans="1:9" ht="48" hidden="1" outlineLevel="1">
      <c r="A511" s="893" t="s">
        <v>1218</v>
      </c>
      <c r="B511" s="894">
        <v>2471889.61</v>
      </c>
      <c r="C511" s="894">
        <v>2224700.65</v>
      </c>
      <c r="D511" s="894">
        <v>123594.48000000001</v>
      </c>
      <c r="E511" s="209">
        <f t="shared" si="48"/>
        <v>2101106.17</v>
      </c>
      <c r="F511" s="209">
        <f t="shared" si="43"/>
        <v>123594.48000000001</v>
      </c>
      <c r="G511" s="209">
        <f t="shared" si="44"/>
        <v>1977511.69</v>
      </c>
      <c r="H511" s="209">
        <f t="shared" si="45"/>
        <v>2039308.93</v>
      </c>
      <c r="I511" s="89"/>
    </row>
    <row r="512" spans="1:9" ht="48" hidden="1" outlineLevel="1">
      <c r="A512" s="893" t="s">
        <v>1219</v>
      </c>
      <c r="B512" s="894">
        <v>2317269.7</v>
      </c>
      <c r="C512" s="894">
        <v>2085542.74</v>
      </c>
      <c r="D512" s="89">
        <v>115863.48000000001</v>
      </c>
      <c r="E512" s="209">
        <f t="shared" si="48"/>
        <v>1969679.26</v>
      </c>
      <c r="F512" s="209">
        <f t="shared" si="43"/>
        <v>115863.48000000001</v>
      </c>
      <c r="G512" s="209">
        <f t="shared" si="44"/>
        <v>1853815.78</v>
      </c>
      <c r="H512" s="209">
        <f t="shared" si="45"/>
        <v>1911747.52</v>
      </c>
      <c r="I512" s="89"/>
    </row>
    <row r="513" spans="1:9" ht="36" hidden="1" outlineLevel="1">
      <c r="A513" s="893" t="s">
        <v>1220</v>
      </c>
      <c r="B513" s="894">
        <v>5041482.97</v>
      </c>
      <c r="C513" s="894">
        <v>4537334.65</v>
      </c>
      <c r="D513" s="89">
        <v>252074.16</v>
      </c>
      <c r="E513" s="209">
        <f t="shared" si="48"/>
        <v>4285260.49</v>
      </c>
      <c r="F513" s="209">
        <f t="shared" si="43"/>
        <v>252074.16</v>
      </c>
      <c r="G513" s="209">
        <f t="shared" si="44"/>
        <v>4033186.33</v>
      </c>
      <c r="H513" s="209">
        <f t="shared" si="45"/>
        <v>4159223.41</v>
      </c>
      <c r="I513" s="89"/>
    </row>
    <row r="514" spans="1:9" ht="36" hidden="1" outlineLevel="1">
      <c r="A514" s="893" t="s">
        <v>1221</v>
      </c>
      <c r="B514" s="894">
        <v>5041482.97</v>
      </c>
      <c r="C514" s="894">
        <v>4537334.65</v>
      </c>
      <c r="D514" s="89">
        <v>252074.16</v>
      </c>
      <c r="E514" s="209">
        <f t="shared" si="48"/>
        <v>4285260.49</v>
      </c>
      <c r="F514" s="209">
        <f t="shared" si="43"/>
        <v>252074.16</v>
      </c>
      <c r="G514" s="209">
        <f t="shared" si="44"/>
        <v>4033186.33</v>
      </c>
      <c r="H514" s="209">
        <f t="shared" si="45"/>
        <v>4159223.41</v>
      </c>
      <c r="I514" s="89"/>
    </row>
    <row r="515" spans="1:9" ht="36" hidden="1" outlineLevel="1">
      <c r="A515" s="893" t="s">
        <v>1222</v>
      </c>
      <c r="B515" s="894">
        <v>5041482.97</v>
      </c>
      <c r="C515" s="894">
        <v>4537334.65</v>
      </c>
      <c r="D515" s="89">
        <v>252074.16</v>
      </c>
      <c r="E515" s="209">
        <f t="shared" si="48"/>
        <v>4285260.49</v>
      </c>
      <c r="F515" s="209">
        <f t="shared" si="43"/>
        <v>252074.16</v>
      </c>
      <c r="G515" s="209">
        <f t="shared" si="44"/>
        <v>4033186.33</v>
      </c>
      <c r="H515" s="209">
        <f t="shared" si="45"/>
        <v>4159223.41</v>
      </c>
      <c r="I515" s="89"/>
    </row>
    <row r="516" spans="1:9" ht="36" hidden="1" outlineLevel="1">
      <c r="A516" s="893" t="s">
        <v>1223</v>
      </c>
      <c r="B516" s="894">
        <v>778515.2</v>
      </c>
      <c r="C516" s="894">
        <v>700663.76</v>
      </c>
      <c r="D516" s="89">
        <v>38925.72</v>
      </c>
      <c r="E516" s="209">
        <f t="shared" si="48"/>
        <v>661738.04</v>
      </c>
      <c r="F516" s="209">
        <f t="shared" si="43"/>
        <v>38925.72</v>
      </c>
      <c r="G516" s="209">
        <f t="shared" si="44"/>
        <v>622812.3200000001</v>
      </c>
      <c r="H516" s="209">
        <f t="shared" si="45"/>
        <v>642275.18</v>
      </c>
      <c r="I516" s="89"/>
    </row>
    <row r="517" spans="1:9" ht="36" hidden="1" outlineLevel="1">
      <c r="A517" s="893" t="s">
        <v>1224</v>
      </c>
      <c r="B517" s="894">
        <v>778515.2</v>
      </c>
      <c r="C517" s="894">
        <v>700663.76</v>
      </c>
      <c r="D517" s="89">
        <v>38925.72</v>
      </c>
      <c r="E517" s="209">
        <f t="shared" si="48"/>
        <v>661738.04</v>
      </c>
      <c r="F517" s="209">
        <f t="shared" si="43"/>
        <v>38925.72</v>
      </c>
      <c r="G517" s="209">
        <f t="shared" si="44"/>
        <v>622812.3200000001</v>
      </c>
      <c r="H517" s="209">
        <f t="shared" si="45"/>
        <v>642275.18</v>
      </c>
      <c r="I517" s="89"/>
    </row>
    <row r="518" spans="1:9" ht="36" hidden="1" outlineLevel="1">
      <c r="A518" s="893" t="s">
        <v>1225</v>
      </c>
      <c r="B518" s="894">
        <v>778515.2</v>
      </c>
      <c r="C518" s="894">
        <v>700663.76</v>
      </c>
      <c r="D518" s="89">
        <v>38925.72</v>
      </c>
      <c r="E518" s="209">
        <f t="shared" si="48"/>
        <v>661738.04</v>
      </c>
      <c r="F518" s="209">
        <f>IF(D518&lt;=E518,D518,E518)</f>
        <v>38925.72</v>
      </c>
      <c r="G518" s="209">
        <f>E518-F518</f>
        <v>622812.3200000001</v>
      </c>
      <c r="H518" s="209">
        <f>(E518+G518)/2</f>
        <v>642275.18</v>
      </c>
      <c r="I518" s="89"/>
    </row>
    <row r="519" spans="1:9" ht="36" hidden="1" outlineLevel="1">
      <c r="A519" s="893" t="s">
        <v>1226</v>
      </c>
      <c r="B519" s="894">
        <v>778515.2</v>
      </c>
      <c r="C519" s="894">
        <v>700663.76</v>
      </c>
      <c r="D519" s="89">
        <v>38925.72</v>
      </c>
      <c r="E519" s="209">
        <f t="shared" si="48"/>
        <v>661738.04</v>
      </c>
      <c r="F519" s="209">
        <f>IF(D519&lt;=E519,D519,E519)</f>
        <v>38925.72</v>
      </c>
      <c r="G519" s="209">
        <f>E519-F519</f>
        <v>622812.3200000001</v>
      </c>
      <c r="H519" s="209">
        <f>(E519+G519)/2</f>
        <v>642275.18</v>
      </c>
      <c r="I519" s="89"/>
    </row>
    <row r="520" spans="1:9" ht="36" hidden="1" outlineLevel="1">
      <c r="A520" s="893" t="s">
        <v>1227</v>
      </c>
      <c r="B520" s="894">
        <v>778515.2</v>
      </c>
      <c r="C520" s="894">
        <v>700663.76</v>
      </c>
      <c r="D520" s="89">
        <v>38925.72</v>
      </c>
      <c r="E520" s="209">
        <f t="shared" si="48"/>
        <v>661738.04</v>
      </c>
      <c r="F520" s="209">
        <f>IF(D520&lt;=E520,D520,E520)</f>
        <v>38925.72</v>
      </c>
      <c r="G520" s="209">
        <f>E520-F520</f>
        <v>622812.3200000001</v>
      </c>
      <c r="H520" s="209">
        <f>(E520+G520)/2</f>
        <v>642275.18</v>
      </c>
      <c r="I520" s="89"/>
    </row>
    <row r="521" spans="1:9" ht="36" hidden="1" outlineLevel="1">
      <c r="A521" s="893" t="s">
        <v>1228</v>
      </c>
      <c r="B521" s="894">
        <v>778515.2</v>
      </c>
      <c r="C521" s="894">
        <v>700663.76</v>
      </c>
      <c r="D521" s="89">
        <v>38925.72</v>
      </c>
      <c r="E521" s="209">
        <f t="shared" si="48"/>
        <v>661738.04</v>
      </c>
      <c r="F521" s="209">
        <f>IF(D521&lt;=E521,D521,E521)</f>
        <v>38925.72</v>
      </c>
      <c r="G521" s="209">
        <f>E521-F521</f>
        <v>622812.3200000001</v>
      </c>
      <c r="H521" s="209">
        <f>(E521+G521)/2</f>
        <v>642275.18</v>
      </c>
      <c r="I521" s="89"/>
    </row>
    <row r="522" spans="1:12" s="5" customFormat="1" ht="12.75" collapsed="1">
      <c r="A522" s="4" t="s">
        <v>125</v>
      </c>
      <c r="B522" s="104">
        <f>SUM(B214:B521)</f>
        <v>243073573.25000006</v>
      </c>
      <c r="C522" s="104">
        <f aca="true" t="shared" si="49" ref="C522:I522">SUM(C214:C521)</f>
        <v>145893852.23459923</v>
      </c>
      <c r="D522" s="104">
        <f t="shared" si="49"/>
        <v>12724304.75617822</v>
      </c>
      <c r="E522" s="104">
        <f t="shared" si="49"/>
        <v>133169547.47842202</v>
      </c>
      <c r="F522" s="104">
        <f t="shared" si="49"/>
        <v>12662247.334112108</v>
      </c>
      <c r="G522" s="104">
        <f t="shared" si="49"/>
        <v>120418262.9243092</v>
      </c>
      <c r="H522" s="104">
        <f t="shared" si="49"/>
        <v>126749386.59136564</v>
      </c>
      <c r="I522" s="104">
        <f t="shared" si="49"/>
        <v>1133129.6369800002</v>
      </c>
      <c r="L522" s="109"/>
    </row>
    <row r="523" spans="1:12" s="5" customFormat="1" ht="12.75">
      <c r="A523" s="889"/>
      <c r="B523" s="104">
        <f aca="true" t="shared" si="50" ref="B523:I523">B17+B212+B522</f>
        <v>277890611.32000005</v>
      </c>
      <c r="C523" s="104">
        <f t="shared" si="50"/>
        <v>161462756.65058938</v>
      </c>
      <c r="D523" s="104">
        <f t="shared" si="50"/>
        <v>15635253.10325921</v>
      </c>
      <c r="E523" s="104">
        <f t="shared" si="50"/>
        <v>147544776.04733118</v>
      </c>
      <c r="F523" s="104">
        <f t="shared" si="50"/>
        <v>15041253.392472647</v>
      </c>
      <c r="G523" s="104">
        <f t="shared" si="50"/>
        <v>132414485.43485782</v>
      </c>
      <c r="H523" s="104">
        <f t="shared" si="50"/>
        <v>141581421.57878035</v>
      </c>
      <c r="I523" s="104">
        <f t="shared" si="50"/>
        <v>1203905.7760115098</v>
      </c>
      <c r="L523" s="116"/>
    </row>
    <row r="524" ht="12.75">
      <c r="L524" s="117"/>
    </row>
    <row r="525" spans="1:9" ht="12.75">
      <c r="A525" s="888" t="s">
        <v>59</v>
      </c>
      <c r="B525" s="886"/>
      <c r="I525" s="886" t="s">
        <v>60</v>
      </c>
    </row>
    <row r="526" spans="1:2" ht="12.75">
      <c r="A526" s="5"/>
      <c r="B526" s="886"/>
    </row>
    <row r="527" spans="1:13" ht="12.75">
      <c r="A527" s="888"/>
      <c r="B527" s="886"/>
      <c r="M527" s="72"/>
    </row>
  </sheetData>
  <sheetProtection/>
  <mergeCells count="3">
    <mergeCell ref="C1:I1"/>
    <mergeCell ref="C2:I2"/>
    <mergeCell ref="A4:I4"/>
  </mergeCells>
  <printOptions/>
  <pageMargins left="0.3937007874015748" right="0.3937007874015748" top="0.3937007874015748" bottom="0.3937007874015748" header="0.5118110236220472" footer="0.5118110236220472"/>
  <pageSetup fitToHeight="40" fitToWidth="1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625" style="1" customWidth="1"/>
    <col min="2" max="2" width="45.375" style="1" customWidth="1"/>
    <col min="3" max="3" width="17.625" style="1" customWidth="1"/>
    <col min="4" max="4" width="14.00390625" style="1" bestFit="1" customWidth="1"/>
    <col min="5" max="5" width="16.875" style="1" customWidth="1"/>
    <col min="6" max="16384" width="9.125" style="1" customWidth="1"/>
  </cols>
  <sheetData>
    <row r="1" ht="12.75">
      <c r="E1" s="73" t="s">
        <v>195</v>
      </c>
    </row>
    <row r="3" spans="1:5" ht="38.25" customHeight="1">
      <c r="A3" s="1243" t="s">
        <v>1231</v>
      </c>
      <c r="B3" s="1243"/>
      <c r="C3" s="1243"/>
      <c r="D3" s="1243"/>
      <c r="E3" s="1243"/>
    </row>
    <row r="4" spans="1:5" ht="18.75">
      <c r="A4" s="1243" t="s">
        <v>497</v>
      </c>
      <c r="B4" s="1243"/>
      <c r="C4" s="1243"/>
      <c r="D4" s="1243"/>
      <c r="E4" s="1243"/>
    </row>
    <row r="5" spans="1:5" ht="18.75">
      <c r="A5" s="182"/>
      <c r="B5" s="182"/>
      <c r="C5" s="182"/>
      <c r="D5" s="182"/>
      <c r="E5" s="182"/>
    </row>
    <row r="6" ht="12.75">
      <c r="E6" s="73" t="s">
        <v>196</v>
      </c>
    </row>
    <row r="7" spans="1:5" s="85" customFormat="1" ht="38.25" customHeight="1">
      <c r="A7" s="183" t="s">
        <v>197</v>
      </c>
      <c r="B7" s="183" t="s">
        <v>198</v>
      </c>
      <c r="C7" s="184" t="s">
        <v>1232</v>
      </c>
      <c r="D7" s="183" t="s">
        <v>1233</v>
      </c>
      <c r="E7" s="183" t="s">
        <v>1234</v>
      </c>
    </row>
    <row r="8" spans="1:5" ht="25.5">
      <c r="A8" s="185" t="s">
        <v>26</v>
      </c>
      <c r="B8" s="186" t="s">
        <v>199</v>
      </c>
      <c r="C8" s="89">
        <v>197293.62</v>
      </c>
      <c r="D8" s="89">
        <v>176999.28</v>
      </c>
      <c r="E8" s="89">
        <f>('КЛЭП и ВЛЭП'!E210+'ВН, СН, НН'!E523+'аморт 25'!E15)/1000</f>
        <v>163278.23877345023</v>
      </c>
    </row>
    <row r="9" spans="1:5" ht="12.75">
      <c r="A9" s="185" t="s">
        <v>27</v>
      </c>
      <c r="B9" s="186" t="s">
        <v>200</v>
      </c>
      <c r="C9" s="89"/>
      <c r="D9" s="89"/>
      <c r="E9" s="89"/>
    </row>
    <row r="10" spans="1:5" ht="12.75">
      <c r="A10" s="185" t="s">
        <v>28</v>
      </c>
      <c r="B10" s="186" t="s">
        <v>201</v>
      </c>
      <c r="C10" s="89"/>
      <c r="D10" s="89"/>
      <c r="E10" s="89"/>
    </row>
    <row r="11" spans="1:5" ht="25.5">
      <c r="A11" s="185" t="s">
        <v>202</v>
      </c>
      <c r="B11" s="187" t="s">
        <v>203</v>
      </c>
      <c r="C11" s="89">
        <f>(C8+D8)/2</f>
        <v>187146.45</v>
      </c>
      <c r="D11" s="89">
        <f>('КЛЭП и ВЛЭП'!C210+'КЛЭП и ВЛЭП'!E210)/2/1000+('ВН, СН, НН'!C523+'ВН, СН, НН'!E523)/2/1000+('аморт 25'!C15+'аморт 25'!E15)/2/1000</f>
        <v>170804.9754470198</v>
      </c>
      <c r="E11" s="89">
        <f>('КЛЭП и ВЛЭП'!H210+'ВН, СН, НН'!H523+'аморт 25'!H15)/1000</f>
        <v>156867.7122383994</v>
      </c>
    </row>
    <row r="12" spans="1:5" ht="15.75" customHeight="1">
      <c r="A12" s="185" t="s">
        <v>204</v>
      </c>
      <c r="B12" s="186" t="s">
        <v>205</v>
      </c>
      <c r="C12" s="89">
        <f>C13/C11%</f>
        <v>9.865535787614458</v>
      </c>
      <c r="D12" s="89">
        <f>D13/D11%</f>
        <v>10.240562345577263</v>
      </c>
      <c r="E12" s="89">
        <f>E13/E11%</f>
        <v>11.111700610288167</v>
      </c>
    </row>
    <row r="13" spans="1:5" ht="12.75">
      <c r="A13" s="185" t="s">
        <v>206</v>
      </c>
      <c r="B13" s="186" t="s">
        <v>207</v>
      </c>
      <c r="C13" s="89">
        <v>18463</v>
      </c>
      <c r="D13" s="89">
        <v>17491.39</v>
      </c>
      <c r="E13" s="89">
        <f>('КЛЭП и ВЛЭП'!F210+'ВН, СН, НН'!F523+'аморт 25'!F15)/1000</f>
        <v>17430.67053813931</v>
      </c>
    </row>
    <row r="15" spans="1:6" s="189" customFormat="1" ht="18.75">
      <c r="A15" s="1244" t="s">
        <v>59</v>
      </c>
      <c r="B15" s="1244"/>
      <c r="C15" s="1244"/>
      <c r="D15" s="1245" t="s">
        <v>60</v>
      </c>
      <c r="E15" s="1245"/>
      <c r="F15" s="188"/>
    </row>
    <row r="16" spans="1:5" ht="38.25" customHeight="1">
      <c r="A16" s="190"/>
      <c r="B16" s="190"/>
      <c r="C16" s="190"/>
      <c r="D16" s="190"/>
      <c r="E16" s="190"/>
    </row>
    <row r="21" ht="12.75">
      <c r="B21" s="192"/>
    </row>
  </sheetData>
  <sheetProtection/>
  <mergeCells count="4">
    <mergeCell ref="A3:E3"/>
    <mergeCell ref="A4:E4"/>
    <mergeCell ref="A15:C15"/>
    <mergeCell ref="D15:E1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7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20.875" style="1" customWidth="1"/>
    <col min="2" max="2" width="24.875" style="1" customWidth="1"/>
    <col min="3" max="3" width="19.375" style="1" customWidth="1"/>
    <col min="4" max="4" width="22.00390625" style="1" customWidth="1"/>
    <col min="5" max="5" width="23.75390625" style="1" customWidth="1"/>
    <col min="6" max="6" width="14.375" style="1" bestFit="1" customWidth="1"/>
    <col min="7" max="7" width="12.125" style="1" bestFit="1" customWidth="1"/>
    <col min="8" max="8" width="9.625" style="1" bestFit="1" customWidth="1"/>
    <col min="9" max="16384" width="9.125" style="1" customWidth="1"/>
  </cols>
  <sheetData>
    <row r="1" spans="1:7" ht="12.75">
      <c r="A1" s="1250" t="s">
        <v>502</v>
      </c>
      <c r="B1" s="1250"/>
      <c r="C1" s="1250"/>
      <c r="D1" s="1250"/>
      <c r="E1" s="1250"/>
      <c r="F1" s="1250"/>
      <c r="G1" s="1250"/>
    </row>
    <row r="2" spans="1:7" ht="12.75">
      <c r="A2" s="1251"/>
      <c r="B2" s="1251"/>
      <c r="C2" s="1251"/>
      <c r="D2" s="1251"/>
      <c r="E2" s="1251"/>
      <c r="F2" s="1251"/>
      <c r="G2" s="1251"/>
    </row>
    <row r="3" spans="1:7" ht="12.75">
      <c r="A3" s="1252" t="s">
        <v>503</v>
      </c>
      <c r="B3" s="1252"/>
      <c r="C3" s="1252"/>
      <c r="D3" s="1252"/>
      <c r="E3" s="1252"/>
      <c r="F3" s="1252"/>
      <c r="G3" s="1252"/>
    </row>
    <row r="4" spans="1:7" ht="12.75">
      <c r="A4" s="1252" t="s">
        <v>504</v>
      </c>
      <c r="B4" s="1252"/>
      <c r="C4" s="1252"/>
      <c r="D4" s="1252"/>
      <c r="E4" s="1252"/>
      <c r="F4" s="1252"/>
      <c r="G4" s="1252"/>
    </row>
    <row r="5" spans="1:7" ht="12.75">
      <c r="A5" s="1252" t="s">
        <v>1236</v>
      </c>
      <c r="B5" s="1252"/>
      <c r="C5" s="1252"/>
      <c r="D5" s="1252"/>
      <c r="E5" s="1252"/>
      <c r="F5" s="1252"/>
      <c r="G5" s="1252"/>
    </row>
    <row r="6" ht="13.5" thickBot="1">
      <c r="G6" s="73" t="s">
        <v>505</v>
      </c>
    </row>
    <row r="7" spans="1:7" ht="39.75" customHeight="1" thickBot="1">
      <c r="A7" s="237"/>
      <c r="B7" s="238" t="s">
        <v>506</v>
      </c>
      <c r="C7" s="238" t="s">
        <v>200</v>
      </c>
      <c r="D7" s="238" t="s">
        <v>201</v>
      </c>
      <c r="E7" s="238" t="s">
        <v>507</v>
      </c>
      <c r="F7" s="238" t="s">
        <v>508</v>
      </c>
      <c r="G7" s="239" t="s">
        <v>509</v>
      </c>
    </row>
    <row r="8" spans="1:7" ht="12.75">
      <c r="A8" s="1246" t="s">
        <v>510</v>
      </c>
      <c r="B8" s="1247"/>
      <c r="C8" s="1247"/>
      <c r="D8" s="1247"/>
      <c r="E8" s="1247"/>
      <c r="F8" s="1247"/>
      <c r="G8" s="1248"/>
    </row>
    <row r="9" spans="1:8" ht="12.75">
      <c r="A9" s="241" t="s">
        <v>511</v>
      </c>
      <c r="B9" s="242">
        <f aca="true" t="shared" si="0" ref="B9:G9">SUM(B10:B13)</f>
        <v>574.1716709523811</v>
      </c>
      <c r="C9" s="242">
        <f t="shared" si="0"/>
        <v>0</v>
      </c>
      <c r="D9" s="242">
        <f t="shared" si="0"/>
        <v>0</v>
      </c>
      <c r="E9" s="242">
        <f t="shared" si="0"/>
        <v>508.683870952381</v>
      </c>
      <c r="F9" s="242">
        <f t="shared" si="0"/>
        <v>541.427770952381</v>
      </c>
      <c r="G9" s="243">
        <f t="shared" si="0"/>
        <v>65.48780000000001</v>
      </c>
      <c r="H9" s="263"/>
    </row>
    <row r="10" spans="1:8" s="12" customFormat="1" ht="12.75">
      <c r="A10" s="244" t="s">
        <v>97</v>
      </c>
      <c r="B10" s="245">
        <f>'КЛЭП и ВЛЭП'!E209/1000</f>
        <v>574.1716709523811</v>
      </c>
      <c r="C10" s="246"/>
      <c r="D10" s="246"/>
      <c r="E10" s="245">
        <f>'КЛЭП и ВЛЭП'!G209/1000</f>
        <v>508.683870952381</v>
      </c>
      <c r="F10" s="245">
        <f>(B10+E10)/2</f>
        <v>541.427770952381</v>
      </c>
      <c r="G10" s="247">
        <f>'КЛЭП и ВЛЭП'!F209/1000</f>
        <v>65.48780000000001</v>
      </c>
      <c r="H10" s="263"/>
    </row>
    <row r="11" spans="1:8" s="12" customFormat="1" ht="12.75">
      <c r="A11" s="244" t="s">
        <v>512</v>
      </c>
      <c r="B11" s="246"/>
      <c r="C11" s="246"/>
      <c r="D11" s="246"/>
      <c r="E11" s="246"/>
      <c r="F11" s="246"/>
      <c r="G11" s="248"/>
      <c r="H11" s="263"/>
    </row>
    <row r="12" spans="1:8" s="12" customFormat="1" ht="12.75">
      <c r="A12" s="244" t="s">
        <v>513</v>
      </c>
      <c r="B12" s="246"/>
      <c r="C12" s="246"/>
      <c r="D12" s="246"/>
      <c r="E12" s="246"/>
      <c r="F12" s="246"/>
      <c r="G12" s="248"/>
      <c r="H12" s="263"/>
    </row>
    <row r="13" spans="1:8" s="12" customFormat="1" ht="12.75">
      <c r="A13" s="244" t="s">
        <v>39</v>
      </c>
      <c r="B13" s="246"/>
      <c r="C13" s="246"/>
      <c r="D13" s="246"/>
      <c r="E13" s="246"/>
      <c r="F13" s="246"/>
      <c r="G13" s="248"/>
      <c r="H13" s="263"/>
    </row>
    <row r="14" spans="1:8" ht="12.75">
      <c r="A14" s="241" t="s">
        <v>514</v>
      </c>
      <c r="B14" s="249">
        <f aca="true" t="shared" si="1" ref="B14:G14">SUM(B15:B18)</f>
        <v>13722.47070766666</v>
      </c>
      <c r="C14" s="249">
        <f t="shared" si="1"/>
        <v>0</v>
      </c>
      <c r="D14" s="249">
        <f t="shared" si="1"/>
        <v>0</v>
      </c>
      <c r="E14" s="249">
        <f t="shared" si="1"/>
        <v>11716.278004999971</v>
      </c>
      <c r="F14" s="249">
        <f t="shared" si="1"/>
        <v>12719.374356333316</v>
      </c>
      <c r="G14" s="250">
        <f t="shared" si="1"/>
        <v>2006.1927026666622</v>
      </c>
      <c r="H14" s="263"/>
    </row>
    <row r="15" spans="1:8" s="12" customFormat="1" ht="12.75">
      <c r="A15" s="244" t="s">
        <v>97</v>
      </c>
      <c r="B15" s="246"/>
      <c r="C15" s="246"/>
      <c r="D15" s="246"/>
      <c r="E15" s="246"/>
      <c r="F15" s="246"/>
      <c r="G15" s="248"/>
      <c r="H15" s="263"/>
    </row>
    <row r="16" spans="1:8" s="12" customFormat="1" ht="12.75">
      <c r="A16" s="244" t="s">
        <v>512</v>
      </c>
      <c r="B16" s="246"/>
      <c r="C16" s="246"/>
      <c r="D16" s="246"/>
      <c r="E16" s="246"/>
      <c r="F16" s="246"/>
      <c r="G16" s="248"/>
      <c r="H16" s="263"/>
    </row>
    <row r="17" spans="1:8" s="12" customFormat="1" ht="12.75">
      <c r="A17" s="244" t="s">
        <v>513</v>
      </c>
      <c r="B17" s="245">
        <f>'КЛЭП и ВЛЭП'!E203/1000</f>
        <v>13722.47070766666</v>
      </c>
      <c r="C17" s="246"/>
      <c r="D17" s="246"/>
      <c r="E17" s="245">
        <f>'КЛЭП и ВЛЭП'!G203/1000</f>
        <v>11716.278004999971</v>
      </c>
      <c r="F17" s="245">
        <f>(B17+E17)/2</f>
        <v>12719.374356333316</v>
      </c>
      <c r="G17" s="247">
        <f>'КЛЭП и ВЛЭП'!F203/1000</f>
        <v>2006.1927026666622</v>
      </c>
      <c r="H17" s="263"/>
    </row>
    <row r="18" spans="1:8" s="12" customFormat="1" ht="13.5" thickBot="1">
      <c r="A18" s="251" t="s">
        <v>39</v>
      </c>
      <c r="B18" s="252"/>
      <c r="C18" s="252"/>
      <c r="D18" s="252"/>
      <c r="E18" s="252"/>
      <c r="F18" s="252"/>
      <c r="G18" s="253"/>
      <c r="H18" s="263"/>
    </row>
    <row r="19" spans="1:8" ht="12.75">
      <c r="A19" s="1246" t="s">
        <v>515</v>
      </c>
      <c r="B19" s="1247"/>
      <c r="C19" s="1247"/>
      <c r="D19" s="1247"/>
      <c r="E19" s="1247"/>
      <c r="F19" s="1247"/>
      <c r="G19" s="1248"/>
      <c r="H19" s="263"/>
    </row>
    <row r="20" spans="1:8" ht="12.75">
      <c r="A20" s="241" t="s">
        <v>97</v>
      </c>
      <c r="B20" s="242">
        <f>'ВН, СН, НН'!E522/1000</f>
        <v>133169.54747842203</v>
      </c>
      <c r="C20" s="254"/>
      <c r="D20" s="254"/>
      <c r="E20" s="242">
        <f>'ВН, СН, НН'!G522/1000</f>
        <v>120418.2629243092</v>
      </c>
      <c r="F20" s="245">
        <f>'ВН, СН, НН'!H522/1000</f>
        <v>126749.38659136563</v>
      </c>
      <c r="G20" s="243">
        <f>'ВН, СН, НН'!F522/1000</f>
        <v>12662.247334112108</v>
      </c>
      <c r="H20" s="263"/>
    </row>
    <row r="21" spans="1:8" ht="12.75">
      <c r="A21" s="241" t="s">
        <v>512</v>
      </c>
      <c r="B21" s="254"/>
      <c r="C21" s="254"/>
      <c r="D21" s="254"/>
      <c r="E21" s="254"/>
      <c r="F21" s="242"/>
      <c r="G21" s="255"/>
      <c r="H21" s="263"/>
    </row>
    <row r="22" spans="1:8" ht="12.75">
      <c r="A22" s="241" t="s">
        <v>513</v>
      </c>
      <c r="B22" s="242">
        <f>'ВН, СН, НН'!E212/1000</f>
        <v>14100.319148909166</v>
      </c>
      <c r="C22" s="254"/>
      <c r="D22" s="254"/>
      <c r="E22" s="242">
        <f>'ВН, СН, НН'!G212/1000</f>
        <v>11939.78426054862</v>
      </c>
      <c r="F22" s="245">
        <f>'ВН, СН, НН'!H212/1000</f>
        <v>14666.361152414702</v>
      </c>
      <c r="G22" s="243">
        <f>'ВН, СН, НН'!F212/1000</f>
        <v>2160.534888360539</v>
      </c>
      <c r="H22" s="263"/>
    </row>
    <row r="23" spans="1:8" ht="13.5" thickBot="1">
      <c r="A23" s="256" t="s">
        <v>39</v>
      </c>
      <c r="B23" s="257">
        <f>('ВН, СН, НН'!E17+'аморт 25'!E15)/1000</f>
        <v>1711.7297675000002</v>
      </c>
      <c r="C23" s="258"/>
      <c r="D23" s="258"/>
      <c r="E23" s="257">
        <f>('ВН, СН, НН'!G17+'аморт 25'!G15)/1000</f>
        <v>1175.5219545</v>
      </c>
      <c r="F23" s="245">
        <f>('ВН, СН, НН'!H17+'аморт 25'!H15)/1000</f>
        <v>1443.625861</v>
      </c>
      <c r="G23" s="259">
        <f>('ВН, СН, НН'!F17+'аморт 25'!F15)/1000</f>
        <v>536.2078130000001</v>
      </c>
      <c r="H23" s="263"/>
    </row>
    <row r="24" spans="1:7" ht="12.75">
      <c r="A24" s="240" t="s">
        <v>516</v>
      </c>
      <c r="B24" s="260"/>
      <c r="C24" s="260">
        <f>SUM(C25:C28)</f>
        <v>0</v>
      </c>
      <c r="D24" s="260">
        <f>SUM(D25:D28)</f>
        <v>0</v>
      </c>
      <c r="E24" s="260">
        <f>SUM(E25:E28)</f>
        <v>145758.53101531017</v>
      </c>
      <c r="F24" s="260">
        <f>SUM(F25:F28)</f>
        <v>156120.17573206604</v>
      </c>
      <c r="G24" s="261">
        <f>SUM(G25:G28)</f>
        <v>17430.67053813931</v>
      </c>
    </row>
    <row r="25" spans="1:7" ht="12.75">
      <c r="A25" s="241" t="s">
        <v>97</v>
      </c>
      <c r="B25" s="242">
        <f>B10+B15+B20</f>
        <v>133743.7191493744</v>
      </c>
      <c r="C25" s="242">
        <f aca="true" t="shared" si="2" ref="B25:G28">C10+C15+C20</f>
        <v>0</v>
      </c>
      <c r="D25" s="242">
        <f t="shared" si="2"/>
        <v>0</v>
      </c>
      <c r="E25" s="242">
        <f t="shared" si="2"/>
        <v>120926.94679526158</v>
      </c>
      <c r="F25" s="242">
        <f t="shared" si="2"/>
        <v>127290.81436231801</v>
      </c>
      <c r="G25" s="243">
        <f t="shared" si="2"/>
        <v>12727.735134112108</v>
      </c>
    </row>
    <row r="26" spans="1:7" ht="12.75">
      <c r="A26" s="241" t="s">
        <v>512</v>
      </c>
      <c r="B26" s="242">
        <f t="shared" si="2"/>
        <v>0</v>
      </c>
      <c r="C26" s="242">
        <f t="shared" si="2"/>
        <v>0</v>
      </c>
      <c r="D26" s="242">
        <f t="shared" si="2"/>
        <v>0</v>
      </c>
      <c r="E26" s="242">
        <f t="shared" si="2"/>
        <v>0</v>
      </c>
      <c r="F26" s="242">
        <f t="shared" si="2"/>
        <v>0</v>
      </c>
      <c r="G26" s="243">
        <f t="shared" si="2"/>
        <v>0</v>
      </c>
    </row>
    <row r="27" spans="1:7" ht="12.75">
      <c r="A27" s="241" t="s">
        <v>513</v>
      </c>
      <c r="B27" s="242">
        <f>B12+B17+B22</f>
        <v>27822.789856575826</v>
      </c>
      <c r="C27" s="242">
        <f t="shared" si="2"/>
        <v>0</v>
      </c>
      <c r="D27" s="242">
        <f t="shared" si="2"/>
        <v>0</v>
      </c>
      <c r="E27" s="242">
        <f t="shared" si="2"/>
        <v>23656.062265548593</v>
      </c>
      <c r="F27" s="242">
        <f t="shared" si="2"/>
        <v>27385.735508748017</v>
      </c>
      <c r="G27" s="243">
        <f t="shared" si="2"/>
        <v>4166.727591027201</v>
      </c>
    </row>
    <row r="28" spans="1:7" ht="13.5" thickBot="1">
      <c r="A28" s="256" t="s">
        <v>39</v>
      </c>
      <c r="B28" s="257">
        <f>B13+B18+B23</f>
        <v>1711.7297675000002</v>
      </c>
      <c r="C28" s="257">
        <f t="shared" si="2"/>
        <v>0</v>
      </c>
      <c r="D28" s="257">
        <f t="shared" si="2"/>
        <v>0</v>
      </c>
      <c r="E28" s="257">
        <f t="shared" si="2"/>
        <v>1175.5219545</v>
      </c>
      <c r="F28" s="257">
        <f t="shared" si="2"/>
        <v>1443.625861</v>
      </c>
      <c r="G28" s="259">
        <f t="shared" si="2"/>
        <v>536.2078130000001</v>
      </c>
    </row>
    <row r="31" spans="1:7" ht="12.75">
      <c r="A31" s="5" t="s">
        <v>59</v>
      </c>
      <c r="B31" s="5"/>
      <c r="C31" s="5"/>
      <c r="D31" s="5"/>
      <c r="E31" s="5"/>
      <c r="F31" s="1249" t="s">
        <v>60</v>
      </c>
      <c r="G31" s="1249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1249"/>
      <c r="G33" s="1249"/>
    </row>
    <row r="37" ht="12.75">
      <c r="A37" s="262"/>
    </row>
  </sheetData>
  <sheetProtection/>
  <mergeCells count="9">
    <mergeCell ref="A19:G19"/>
    <mergeCell ref="F31:G31"/>
    <mergeCell ref="F33:G33"/>
    <mergeCell ref="A1:G1"/>
    <mergeCell ref="A2:G2"/>
    <mergeCell ref="A3:G3"/>
    <mergeCell ref="A4:G4"/>
    <mergeCell ref="A5:G5"/>
    <mergeCell ref="A8:G8"/>
  </mergeCells>
  <printOptions/>
  <pageMargins left="0.7874015748031497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Y20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4" sqref="A4:AB4"/>
      <selection pane="topRight" activeCell="A4" sqref="A4:AB4"/>
      <selection pane="bottomLeft" activeCell="A4" sqref="A4:AB4"/>
      <selection pane="bottomRight" activeCell="F13" sqref="F13"/>
    </sheetView>
  </sheetViews>
  <sheetFormatPr defaultColWidth="9.00390625" defaultRowHeight="12.75" outlineLevelCol="1"/>
  <cols>
    <col min="1" max="1" width="36.375" style="1" customWidth="1"/>
    <col min="2" max="2" width="15.875" style="94" customWidth="1"/>
    <col min="3" max="3" width="13.875" style="94" hidden="1" customWidth="1" outlineLevel="1"/>
    <col min="4" max="4" width="14.625" style="94" hidden="1" customWidth="1" outlineLevel="1"/>
    <col min="5" max="5" width="14.625" style="94" customWidth="1" collapsed="1"/>
    <col min="6" max="7" width="14.625" style="94" customWidth="1"/>
    <col min="8" max="8" width="13.625" style="94" customWidth="1"/>
    <col min="9" max="9" width="12.375" style="94" customWidth="1"/>
    <col min="10" max="16384" width="9.125" style="1" customWidth="1"/>
  </cols>
  <sheetData>
    <row r="2" spans="3:9" ht="12.75">
      <c r="C2" s="1253"/>
      <c r="D2" s="1253"/>
      <c r="E2" s="1253"/>
      <c r="F2" s="1253"/>
      <c r="G2" s="1253"/>
      <c r="H2" s="1253"/>
      <c r="I2" s="1253"/>
    </row>
    <row r="3" spans="1:9" ht="12.75">
      <c r="A3" s="1252" t="s">
        <v>1235</v>
      </c>
      <c r="B3" s="1252"/>
      <c r="C3" s="1252"/>
      <c r="D3" s="1252"/>
      <c r="E3" s="1252"/>
      <c r="F3" s="1252"/>
      <c r="G3" s="1252"/>
      <c r="H3" s="1252"/>
      <c r="I3" s="1252"/>
    </row>
    <row r="4" spans="1:51" ht="12.75" customHeight="1">
      <c r="A4" s="912"/>
      <c r="B4" s="912"/>
      <c r="C4" s="912"/>
      <c r="D4" s="912"/>
      <c r="E4" s="912"/>
      <c r="F4" s="912"/>
      <c r="G4" s="912"/>
      <c r="H4" s="912"/>
      <c r="I4" s="91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ht="12.75">
      <c r="I6" s="886" t="s">
        <v>143</v>
      </c>
    </row>
    <row r="7" spans="1:9" s="11" customFormat="1" ht="63.75">
      <c r="A7" s="10" t="s">
        <v>37</v>
      </c>
      <c r="B7" s="118" t="s">
        <v>130</v>
      </c>
      <c r="C7" s="118" t="s">
        <v>518</v>
      </c>
      <c r="D7" s="118" t="s">
        <v>530</v>
      </c>
      <c r="E7" s="118" t="s">
        <v>531</v>
      </c>
      <c r="F7" s="118" t="s">
        <v>914</v>
      </c>
      <c r="G7" s="118" t="s">
        <v>915</v>
      </c>
      <c r="H7" s="118" t="s">
        <v>916</v>
      </c>
      <c r="I7" s="118" t="s">
        <v>917</v>
      </c>
    </row>
    <row r="8" spans="1:9" ht="12.75">
      <c r="A8" s="6" t="s">
        <v>228</v>
      </c>
      <c r="B8" s="105">
        <v>47452.12</v>
      </c>
      <c r="C8" s="209">
        <v>13224.52</v>
      </c>
      <c r="D8" s="209">
        <v>9334.8</v>
      </c>
      <c r="E8" s="209">
        <f>C8-D8</f>
        <v>3889.720000000001</v>
      </c>
      <c r="F8" s="209">
        <f>IF(D8&lt;=E8,D8,E8)</f>
        <v>3889.720000000001</v>
      </c>
      <c r="G8" s="209">
        <f aca="true" t="shared" si="0" ref="G8:G14">E8-F8</f>
        <v>0</v>
      </c>
      <c r="H8" s="209">
        <f aca="true" t="shared" si="1" ref="H8:H14">(E8+G8)/2</f>
        <v>1944.8600000000006</v>
      </c>
      <c r="I8" s="89"/>
    </row>
    <row r="9" spans="1:9" ht="25.5">
      <c r="A9" s="6" t="s">
        <v>229</v>
      </c>
      <c r="B9" s="105">
        <v>49855</v>
      </c>
      <c r="C9" s="209">
        <v>27895.13</v>
      </c>
      <c r="D9" s="209">
        <v>7122.12</v>
      </c>
      <c r="E9" s="209">
        <f>C9-D9</f>
        <v>20773.010000000002</v>
      </c>
      <c r="F9" s="209">
        <f>IF(D9&lt;=E9,D9,E9)</f>
        <v>7122.12</v>
      </c>
      <c r="G9" s="209">
        <f t="shared" si="0"/>
        <v>13650.890000000003</v>
      </c>
      <c r="H9" s="209">
        <f t="shared" si="1"/>
        <v>17211.950000000004</v>
      </c>
      <c r="I9" s="89"/>
    </row>
    <row r="10" spans="1:9" ht="25.5">
      <c r="A10" s="6" t="s">
        <v>5</v>
      </c>
      <c r="B10" s="105">
        <v>508474.57</v>
      </c>
      <c r="C10" s="209">
        <v>176495.24000000005</v>
      </c>
      <c r="D10" s="209">
        <v>50427.240000000005</v>
      </c>
      <c r="E10" s="209">
        <f>C10-D10</f>
        <v>126068.00000000004</v>
      </c>
      <c r="F10" s="209">
        <f>IF(D10&lt;=E10,D10,E10)</f>
        <v>50427.240000000005</v>
      </c>
      <c r="G10" s="209">
        <f t="shared" si="0"/>
        <v>75640.76000000004</v>
      </c>
      <c r="H10" s="209">
        <f t="shared" si="1"/>
        <v>100854.38000000003</v>
      </c>
      <c r="I10" s="89"/>
    </row>
    <row r="11" spans="1:9" ht="25.5">
      <c r="A11" s="909" t="s">
        <v>533</v>
      </c>
      <c r="B11" s="910">
        <v>1491525.42</v>
      </c>
      <c r="C11" s="209">
        <v>1225181.52</v>
      </c>
      <c r="D11" s="209">
        <v>213075.12</v>
      </c>
      <c r="E11" s="209">
        <f>C11-D11</f>
        <v>1012106.4</v>
      </c>
      <c r="F11" s="209">
        <f>IF(D11&lt;=E11,D11,E11)</f>
        <v>213075.12</v>
      </c>
      <c r="G11" s="209">
        <f t="shared" si="0"/>
        <v>799031.28</v>
      </c>
      <c r="H11" s="209">
        <f t="shared" si="1"/>
        <v>905568.8400000001</v>
      </c>
      <c r="I11" s="89"/>
    </row>
    <row r="12" spans="1:9" ht="36">
      <c r="A12" s="911" t="s">
        <v>1088</v>
      </c>
      <c r="B12" s="894">
        <v>233333.33</v>
      </c>
      <c r="C12" s="209">
        <v>216666.65</v>
      </c>
      <c r="D12" s="209">
        <v>33333.36</v>
      </c>
      <c r="E12" s="209">
        <f>C12-D12</f>
        <v>183333.28999999998</v>
      </c>
      <c r="F12" s="209">
        <f>IF(D12&lt;=E12,D12,E12)</f>
        <v>33333.36</v>
      </c>
      <c r="G12" s="209">
        <f t="shared" si="0"/>
        <v>149999.93</v>
      </c>
      <c r="H12" s="209">
        <f t="shared" si="1"/>
        <v>166666.61</v>
      </c>
      <c r="I12" s="89"/>
    </row>
    <row r="13" spans="1:9" ht="25.5">
      <c r="A13" s="1022" t="s">
        <v>1320</v>
      </c>
      <c r="B13" s="1023">
        <v>52357.5</v>
      </c>
      <c r="C13" s="209"/>
      <c r="D13" s="209">
        <f>B13/120*10</f>
        <v>4363.125</v>
      </c>
      <c r="E13" s="209">
        <f>B13-D13</f>
        <v>47994.375</v>
      </c>
      <c r="F13" s="209">
        <f>B13/120*12</f>
        <v>5235.75</v>
      </c>
      <c r="G13" s="209">
        <f t="shared" si="0"/>
        <v>42758.625</v>
      </c>
      <c r="H13" s="209">
        <f t="shared" si="1"/>
        <v>45376.5</v>
      </c>
      <c r="I13" s="89"/>
    </row>
    <row r="14" spans="1:9" ht="25.5">
      <c r="A14" s="1022" t="s">
        <v>1321</v>
      </c>
      <c r="B14" s="1023">
        <v>46533.33</v>
      </c>
      <c r="C14" s="209"/>
      <c r="D14" s="209">
        <f>B14/120*10</f>
        <v>3877.7775</v>
      </c>
      <c r="E14" s="209">
        <f>B14-D14</f>
        <v>42655.552500000005</v>
      </c>
      <c r="F14" s="209">
        <f>B14/120*12</f>
        <v>4653.3330000000005</v>
      </c>
      <c r="G14" s="209">
        <f t="shared" si="0"/>
        <v>38002.21950000001</v>
      </c>
      <c r="H14" s="209">
        <f t="shared" si="1"/>
        <v>40328.886000000006</v>
      </c>
      <c r="I14" s="89"/>
    </row>
    <row r="15" spans="1:9" s="5" customFormat="1" ht="12.75">
      <c r="A15" s="4" t="s">
        <v>131</v>
      </c>
      <c r="B15" s="104">
        <f>SUM(B8:B14)</f>
        <v>2429531.27</v>
      </c>
      <c r="C15" s="104">
        <f aca="true" t="shared" si="2" ref="C15:I15">SUM(C8:C14)</f>
        <v>1659463.06</v>
      </c>
      <c r="D15" s="104">
        <f t="shared" si="2"/>
        <v>321533.54250000004</v>
      </c>
      <c r="E15" s="104">
        <f t="shared" si="2"/>
        <v>1436820.3475000001</v>
      </c>
      <c r="F15" s="104">
        <f t="shared" si="2"/>
        <v>317736.643</v>
      </c>
      <c r="G15" s="104">
        <f t="shared" si="2"/>
        <v>1119083.7045</v>
      </c>
      <c r="H15" s="104">
        <f t="shared" si="2"/>
        <v>1277952.026</v>
      </c>
      <c r="I15" s="104">
        <f t="shared" si="2"/>
        <v>0</v>
      </c>
    </row>
    <row r="17" spans="1:2" ht="12.75">
      <c r="A17" s="5"/>
      <c r="B17" s="886"/>
    </row>
    <row r="18" spans="1:8" ht="12.75">
      <c r="A18" s="5" t="s">
        <v>59</v>
      </c>
      <c r="B18" s="886"/>
      <c r="F18" s="886" t="s">
        <v>60</v>
      </c>
      <c r="H18" s="886"/>
    </row>
    <row r="20" spans="1:9" ht="12.75">
      <c r="A20" s="5"/>
      <c r="B20" s="886"/>
      <c r="H20" s="886"/>
      <c r="I20" s="886"/>
    </row>
  </sheetData>
  <sheetProtection/>
  <mergeCells count="2">
    <mergeCell ref="A3:I3"/>
    <mergeCell ref="C2:I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8"/>
  <sheetViews>
    <sheetView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35.125" style="1" bestFit="1" customWidth="1"/>
    <col min="2" max="2" width="14.875" style="1" customWidth="1"/>
    <col min="3" max="3" width="15.375" style="1" customWidth="1"/>
    <col min="4" max="4" width="13.375" style="1" customWidth="1"/>
    <col min="5" max="5" width="9.125" style="1" customWidth="1"/>
    <col min="6" max="6" width="12.25390625" style="1" bestFit="1" customWidth="1"/>
    <col min="7" max="16384" width="9.125" style="1" customWidth="1"/>
  </cols>
  <sheetData>
    <row r="1" spans="1:4" ht="12.75">
      <c r="A1" s="13"/>
      <c r="C1" s="1254"/>
      <c r="D1" s="1254"/>
    </row>
    <row r="2" spans="2:5" ht="12.75">
      <c r="B2" s="1255"/>
      <c r="C2" s="1255"/>
      <c r="D2" s="1255"/>
      <c r="E2" s="14"/>
    </row>
    <row r="3" ht="12.75"/>
    <row r="4" spans="1:4" ht="26.25" customHeight="1">
      <c r="A4" s="1256" t="s">
        <v>1237</v>
      </c>
      <c r="B4" s="1256"/>
      <c r="C4" s="1256"/>
      <c r="D4" s="1256"/>
    </row>
    <row r="5" spans="1:4" ht="12.75">
      <c r="A5" s="15"/>
      <c r="B5" s="15"/>
      <c r="C5" s="15"/>
      <c r="D5" s="15"/>
    </row>
    <row r="6" ht="12.75"/>
    <row r="7" spans="1:4" ht="25.5">
      <c r="A7" s="10" t="s">
        <v>132</v>
      </c>
      <c r="B7" s="10" t="s">
        <v>133</v>
      </c>
      <c r="C7" s="10" t="s">
        <v>134</v>
      </c>
      <c r="D7" s="10" t="s">
        <v>135</v>
      </c>
    </row>
    <row r="8" spans="1:4" ht="38.25">
      <c r="A8" s="106" t="s">
        <v>171</v>
      </c>
      <c r="B8" s="107">
        <v>2007482.07</v>
      </c>
      <c r="C8" s="107">
        <v>1.5</v>
      </c>
      <c r="D8" s="107">
        <f>B8*C8/100</f>
        <v>30112.23105</v>
      </c>
    </row>
    <row r="9" spans="1:4" ht="42" customHeight="1">
      <c r="A9" s="110" t="s">
        <v>136</v>
      </c>
      <c r="B9" s="8">
        <v>647207.86</v>
      </c>
      <c r="C9" s="2">
        <v>1.5</v>
      </c>
      <c r="D9" s="8">
        <f aca="true" t="shared" si="0" ref="D9:D19">ROUND(B9*C9/100,0)</f>
        <v>9708</v>
      </c>
    </row>
    <row r="10" spans="1:4" ht="25.5">
      <c r="A10" s="6" t="s">
        <v>122</v>
      </c>
      <c r="B10" s="8">
        <v>1676222.87</v>
      </c>
      <c r="C10" s="2">
        <v>1.5</v>
      </c>
      <c r="D10" s="8">
        <f t="shared" si="0"/>
        <v>25143</v>
      </c>
    </row>
    <row r="11" spans="1:4" ht="25.5">
      <c r="A11" s="6" t="s">
        <v>123</v>
      </c>
      <c r="B11" s="8">
        <v>213262</v>
      </c>
      <c r="C11" s="2">
        <v>1.5</v>
      </c>
      <c r="D11" s="8">
        <f t="shared" si="0"/>
        <v>3199</v>
      </c>
    </row>
    <row r="12" spans="1:4" ht="38.25">
      <c r="A12" s="6" t="s">
        <v>167</v>
      </c>
      <c r="B12" s="8">
        <v>696122.27</v>
      </c>
      <c r="C12" s="2">
        <v>1.5</v>
      </c>
      <c r="D12" s="8">
        <f t="shared" si="0"/>
        <v>10442</v>
      </c>
    </row>
    <row r="13" spans="1:4" ht="38.25">
      <c r="A13" s="111" t="s">
        <v>168</v>
      </c>
      <c r="B13" s="8">
        <v>1215985.24</v>
      </c>
      <c r="C13" s="2">
        <v>1.5</v>
      </c>
      <c r="D13" s="8">
        <f t="shared" si="0"/>
        <v>18240</v>
      </c>
    </row>
    <row r="14" spans="1:4" ht="25.5">
      <c r="A14" s="111" t="s">
        <v>169</v>
      </c>
      <c r="B14" s="913">
        <v>8296.41</v>
      </c>
      <c r="C14" s="2">
        <v>1.5</v>
      </c>
      <c r="D14" s="8">
        <f t="shared" si="0"/>
        <v>124</v>
      </c>
    </row>
    <row r="15" spans="1:4" ht="25.5">
      <c r="A15" s="6" t="s">
        <v>170</v>
      </c>
      <c r="B15" s="8">
        <v>5980845.04</v>
      </c>
      <c r="C15" s="2">
        <v>1.5</v>
      </c>
      <c r="D15" s="8">
        <f t="shared" si="0"/>
        <v>89713</v>
      </c>
    </row>
    <row r="16" spans="1:4" ht="12.75">
      <c r="A16" s="6" t="s">
        <v>519</v>
      </c>
      <c r="B16" s="8">
        <v>118969.4</v>
      </c>
      <c r="C16" s="2">
        <v>1.5</v>
      </c>
      <c r="D16" s="8">
        <f t="shared" si="0"/>
        <v>1785</v>
      </c>
    </row>
    <row r="17" spans="1:4" ht="12.75">
      <c r="A17" s="6" t="s">
        <v>520</v>
      </c>
      <c r="B17" s="8">
        <v>1302932</v>
      </c>
      <c r="C17" s="2">
        <v>1.5</v>
      </c>
      <c r="D17" s="8">
        <f t="shared" si="0"/>
        <v>19544</v>
      </c>
    </row>
    <row r="18" spans="1:4" ht="12.75">
      <c r="A18" s="6" t="s">
        <v>521</v>
      </c>
      <c r="B18" s="8">
        <v>221362.32</v>
      </c>
      <c r="C18" s="2">
        <v>1.5</v>
      </c>
      <c r="D18" s="8">
        <f t="shared" si="0"/>
        <v>3320</v>
      </c>
    </row>
    <row r="19" spans="1:4" ht="25.5">
      <c r="A19" s="6" t="s">
        <v>536</v>
      </c>
      <c r="B19" s="8">
        <v>259022.61</v>
      </c>
      <c r="C19" s="2">
        <v>1.5</v>
      </c>
      <c r="D19" s="8">
        <f t="shared" si="0"/>
        <v>3885</v>
      </c>
    </row>
    <row r="20" spans="1:6" s="5" customFormat="1" ht="12.75">
      <c r="A20" s="4" t="s">
        <v>131</v>
      </c>
      <c r="B20" s="264">
        <f>SUM(B8:B19)</f>
        <v>14347710.090000002</v>
      </c>
      <c r="C20" s="264"/>
      <c r="D20" s="265">
        <f>SUM(D8:D19)</f>
        <v>215215.23105</v>
      </c>
      <c r="F20" s="86"/>
    </row>
    <row r="23" spans="1:4" ht="12.75">
      <c r="A23" s="25" t="s">
        <v>59</v>
      </c>
      <c r="B23" s="5"/>
      <c r="C23" s="1249" t="s">
        <v>60</v>
      </c>
      <c r="D23" s="1249"/>
    </row>
    <row r="24" spans="1:4" s="16" customFormat="1" ht="15.75">
      <c r="A24" s="26"/>
      <c r="B24" s="26"/>
      <c r="C24" s="26"/>
      <c r="D24" s="26"/>
    </row>
    <row r="25" spans="1:4" ht="12.75">
      <c r="A25" s="5"/>
      <c r="B25" s="5"/>
      <c r="C25" s="1249"/>
      <c r="D25" s="1249"/>
    </row>
    <row r="28" ht="12.75">
      <c r="A28" s="95"/>
    </row>
  </sheetData>
  <sheetProtection/>
  <mergeCells count="5">
    <mergeCell ref="C25:D25"/>
    <mergeCell ref="C1:D1"/>
    <mergeCell ref="B2:D2"/>
    <mergeCell ref="A4:D4"/>
    <mergeCell ref="C23:D2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3"/>
  <headerFooter alignWithMargins="0">
    <oddFooter>&amp;LИсп. Колышницына Н.В. т. 60-76-82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375" style="29" customWidth="1"/>
    <col min="2" max="2" width="33.75390625" style="29" customWidth="1"/>
    <col min="3" max="3" width="11.25390625" style="29" bestFit="1" customWidth="1"/>
    <col min="4" max="4" width="16.25390625" style="29" bestFit="1" customWidth="1"/>
    <col min="5" max="5" width="11.00390625" style="29" customWidth="1"/>
    <col min="6" max="6" width="12.625" style="29" bestFit="1" customWidth="1"/>
    <col min="7" max="7" width="12.625" style="29" customWidth="1"/>
    <col min="8" max="16384" width="9.125" style="29" customWidth="1"/>
  </cols>
  <sheetData>
    <row r="1" spans="1:6" ht="12.75">
      <c r="A1" s="28"/>
      <c r="C1" s="30"/>
      <c r="D1" s="1259" t="s">
        <v>58</v>
      </c>
      <c r="E1" s="1259"/>
      <c r="F1" s="1259"/>
    </row>
    <row r="2" spans="3:9" ht="12.75">
      <c r="C2" s="91"/>
      <c r="D2" s="1255"/>
      <c r="E2" s="1255"/>
      <c r="F2" s="1255"/>
      <c r="G2" s="31"/>
      <c r="H2" s="31"/>
      <c r="I2" s="31"/>
    </row>
    <row r="3" spans="3:9" ht="12.75">
      <c r="C3" s="20"/>
      <c r="D3" s="20"/>
      <c r="E3" s="20"/>
      <c r="F3" s="20"/>
      <c r="G3" s="31"/>
      <c r="H3" s="31"/>
      <c r="I3" s="31"/>
    </row>
    <row r="4" spans="1:8" s="32" customFormat="1" ht="27" customHeight="1">
      <c r="A4" s="1260" t="s">
        <v>1238</v>
      </c>
      <c r="B4" s="1260"/>
      <c r="C4" s="1260"/>
      <c r="D4" s="1260"/>
      <c r="E4" s="1260"/>
      <c r="F4" s="1260"/>
      <c r="G4" s="17"/>
      <c r="H4" s="17"/>
    </row>
    <row r="5" spans="2:8" s="32" customFormat="1" ht="13.5">
      <c r="B5" s="29"/>
      <c r="C5" s="29"/>
      <c r="D5" s="29"/>
      <c r="E5" s="29"/>
      <c r="F5" s="29"/>
      <c r="G5" s="33"/>
      <c r="H5" s="33"/>
    </row>
    <row r="6" spans="1:8" s="32" customFormat="1" ht="40.5">
      <c r="A6" s="98" t="s">
        <v>145</v>
      </c>
      <c r="B6" s="99" t="s">
        <v>146</v>
      </c>
      <c r="C6" s="99" t="s">
        <v>147</v>
      </c>
      <c r="D6" s="100" t="s">
        <v>148</v>
      </c>
      <c r="E6" s="100" t="s">
        <v>54</v>
      </c>
      <c r="F6" s="100" t="s">
        <v>149</v>
      </c>
      <c r="G6" s="33"/>
      <c r="H6" s="33"/>
    </row>
    <row r="7" spans="1:8" s="32" customFormat="1" ht="13.5">
      <c r="A7" s="102">
        <v>1</v>
      </c>
      <c r="B7" s="101" t="s">
        <v>138</v>
      </c>
      <c r="C7" s="22" t="s">
        <v>33</v>
      </c>
      <c r="D7" s="34">
        <v>120</v>
      </c>
      <c r="E7" s="35">
        <v>30</v>
      </c>
      <c r="F7" s="36">
        <f>D7*E7</f>
        <v>3600</v>
      </c>
      <c r="G7" s="33"/>
      <c r="H7" s="23"/>
    </row>
    <row r="8" spans="1:8" s="32" customFormat="1" ht="13.5">
      <c r="A8" s="102">
        <v>2</v>
      </c>
      <c r="B8" s="101" t="s">
        <v>139</v>
      </c>
      <c r="C8" s="21" t="s">
        <v>140</v>
      </c>
      <c r="D8" s="34">
        <v>98</v>
      </c>
      <c r="E8" s="35">
        <v>20</v>
      </c>
      <c r="F8" s="36">
        <f>D8*E8</f>
        <v>1960</v>
      </c>
      <c r="G8" s="33"/>
      <c r="H8" s="23"/>
    </row>
    <row r="9" spans="1:8" s="32" customFormat="1" ht="13.5">
      <c r="A9" s="102">
        <v>3</v>
      </c>
      <c r="B9" s="101" t="s">
        <v>55</v>
      </c>
      <c r="C9" s="21" t="s">
        <v>194</v>
      </c>
      <c r="D9" s="34">
        <v>106.8</v>
      </c>
      <c r="E9" s="35">
        <v>30</v>
      </c>
      <c r="F9" s="36">
        <f>D9*E9</f>
        <v>3204</v>
      </c>
      <c r="G9" s="17"/>
      <c r="H9" s="23"/>
    </row>
    <row r="10" spans="1:8" s="32" customFormat="1" ht="13.5">
      <c r="A10" s="102">
        <v>4</v>
      </c>
      <c r="B10" s="101" t="s">
        <v>141</v>
      </c>
      <c r="C10" s="21" t="s">
        <v>142</v>
      </c>
      <c r="D10" s="34">
        <v>98.16</v>
      </c>
      <c r="E10" s="35">
        <v>20</v>
      </c>
      <c r="F10" s="36">
        <f>D10*E10</f>
        <v>1963.1999999999998</v>
      </c>
      <c r="G10" s="37"/>
      <c r="H10" s="23"/>
    </row>
    <row r="11" spans="1:8" ht="13.5">
      <c r="A11" s="38"/>
      <c r="B11" s="39" t="s">
        <v>131</v>
      </c>
      <c r="C11" s="38"/>
      <c r="D11" s="38"/>
      <c r="E11" s="40"/>
      <c r="F11" s="159">
        <f>SUM(F7:F10)</f>
        <v>10727.2</v>
      </c>
      <c r="H11" s="23"/>
    </row>
    <row r="13" spans="1:6" ht="12.75">
      <c r="A13" s="1261" t="s">
        <v>59</v>
      </c>
      <c r="B13" s="1261"/>
      <c r="C13" s="42"/>
      <c r="D13" s="42"/>
      <c r="E13" s="42"/>
      <c r="F13" s="44" t="s">
        <v>60</v>
      </c>
    </row>
    <row r="14" spans="1:6" s="41" customFormat="1" ht="15.75">
      <c r="A14" s="43"/>
      <c r="B14" s="43"/>
      <c r="C14" s="43"/>
      <c r="D14" s="43"/>
      <c r="E14" s="43"/>
      <c r="F14" s="43"/>
    </row>
    <row r="15" spans="1:6" ht="12.75">
      <c r="A15" s="42"/>
      <c r="B15" s="42"/>
      <c r="C15" s="42"/>
      <c r="D15" s="42"/>
      <c r="E15" s="1257"/>
      <c r="F15" s="1257"/>
    </row>
    <row r="22" spans="1:3" ht="12.75">
      <c r="A22" s="1258"/>
      <c r="B22" s="1258"/>
      <c r="C22" s="1258"/>
    </row>
  </sheetData>
  <sheetProtection/>
  <mergeCells count="6">
    <mergeCell ref="E15:F15"/>
    <mergeCell ref="A22:C22"/>
    <mergeCell ref="D1:F1"/>
    <mergeCell ref="A4:F4"/>
    <mergeCell ref="A13:B13"/>
    <mergeCell ref="D2:F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&amp;LИсп. Колышницына Н.В. т. 60-76-82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5"/>
  <sheetViews>
    <sheetView zoomScalePageLayoutView="0" workbookViewId="0" topLeftCell="A12">
      <selection activeCell="R21" sqref="R21"/>
    </sheetView>
  </sheetViews>
  <sheetFormatPr defaultColWidth="9.00390625" defaultRowHeight="12.75" outlineLevelRow="1" outlineLevelCol="1"/>
  <cols>
    <col min="1" max="1" width="4.75390625" style="314" customWidth="1"/>
    <col min="2" max="2" width="0.6171875" style="314" customWidth="1"/>
    <col min="3" max="3" width="54.875" style="314" customWidth="1"/>
    <col min="4" max="4" width="0.6171875" style="314" hidden="1" customWidth="1"/>
    <col min="5" max="5" width="8.75390625" style="314" customWidth="1"/>
    <col min="6" max="6" width="7.25390625" style="314" bestFit="1" customWidth="1"/>
    <col min="7" max="7" width="6.00390625" style="314" customWidth="1"/>
    <col min="8" max="8" width="7.25390625" style="314" bestFit="1" customWidth="1"/>
    <col min="9" max="9" width="6.75390625" style="314" bestFit="1" customWidth="1"/>
    <col min="10" max="14" width="8.875" style="314" customWidth="1" outlineLevel="1"/>
    <col min="15" max="16" width="7.25390625" style="314" bestFit="1" customWidth="1"/>
    <col min="17" max="17" width="5.125" style="314" customWidth="1"/>
    <col min="18" max="18" width="7.25390625" style="314" bestFit="1" customWidth="1"/>
    <col min="19" max="19" width="6.75390625" style="314" bestFit="1" customWidth="1"/>
    <col min="20" max="16384" width="9.125" style="314" customWidth="1"/>
  </cols>
  <sheetData>
    <row r="1" spans="17:19" ht="30" customHeight="1">
      <c r="Q1" s="1066" t="s">
        <v>574</v>
      </c>
      <c r="R1" s="1066"/>
      <c r="S1" s="1066"/>
    </row>
    <row r="2" spans="1:19" ht="15.75" hidden="1" outlineLevel="1">
      <c r="A2" s="1048" t="s">
        <v>539</v>
      </c>
      <c r="B2" s="1048"/>
      <c r="C2" s="1048"/>
      <c r="D2" s="1048"/>
      <c r="E2" s="1048"/>
      <c r="F2" s="1048"/>
      <c r="G2" s="1048"/>
      <c r="K2" s="1048" t="s">
        <v>539</v>
      </c>
      <c r="L2" s="1048"/>
      <c r="M2" s="1048"/>
      <c r="N2" s="1048"/>
      <c r="O2" s="1048"/>
      <c r="P2" s="1048"/>
      <c r="Q2" s="1048"/>
      <c r="R2" s="1048"/>
      <c r="S2" s="1048"/>
    </row>
    <row r="3" spans="1:19" ht="15.75" hidden="1" outlineLevel="1">
      <c r="A3" s="1046" t="s">
        <v>540</v>
      </c>
      <c r="B3" s="1046"/>
      <c r="C3" s="1046"/>
      <c r="D3" s="1046"/>
      <c r="E3" s="1046"/>
      <c r="F3" s="1046"/>
      <c r="G3" s="1046"/>
      <c r="K3" s="1046" t="s">
        <v>541</v>
      </c>
      <c r="L3" s="1046"/>
      <c r="M3" s="1046"/>
      <c r="N3" s="1046"/>
      <c r="O3" s="1046"/>
      <c r="P3" s="1046"/>
      <c r="Q3" s="1046"/>
      <c r="R3" s="1046"/>
      <c r="S3" s="1046"/>
    </row>
    <row r="4" spans="1:19" ht="15.75" hidden="1" outlineLevel="1">
      <c r="A4" s="1046" t="s">
        <v>542</v>
      </c>
      <c r="B4" s="1046"/>
      <c r="C4" s="1046"/>
      <c r="D4" s="1046"/>
      <c r="E4" s="1046"/>
      <c r="F4" s="1046"/>
      <c r="G4" s="1046"/>
      <c r="K4" s="1046" t="s">
        <v>543</v>
      </c>
      <c r="L4" s="1046"/>
      <c r="M4" s="1046"/>
      <c r="N4" s="1046"/>
      <c r="O4" s="1046"/>
      <c r="P4" s="1046"/>
      <c r="Q4" s="1046"/>
      <c r="R4" s="1046"/>
      <c r="S4" s="1046"/>
    </row>
    <row r="5" spans="1:19" ht="15.75" hidden="1" outlineLevel="1">
      <c r="A5" s="1046" t="s">
        <v>544</v>
      </c>
      <c r="B5" s="1046"/>
      <c r="C5" s="1046"/>
      <c r="D5" s="1046"/>
      <c r="E5" s="1046"/>
      <c r="F5" s="1046"/>
      <c r="G5" s="1046"/>
      <c r="K5" s="1046" t="s">
        <v>545</v>
      </c>
      <c r="L5" s="1046"/>
      <c r="M5" s="1046"/>
      <c r="N5" s="1046"/>
      <c r="O5" s="1046"/>
      <c r="P5" s="1046"/>
      <c r="Q5" s="1046"/>
      <c r="R5" s="1046"/>
      <c r="S5" s="1046"/>
    </row>
    <row r="6" spans="1:19" ht="31.5" customHeight="1" hidden="1" outlineLevel="1">
      <c r="A6" s="1046" t="s">
        <v>546</v>
      </c>
      <c r="B6" s="1046"/>
      <c r="C6" s="1046"/>
      <c r="D6" s="1046"/>
      <c r="E6" s="1046"/>
      <c r="F6" s="1046"/>
      <c r="G6" s="1046"/>
      <c r="K6" s="1046" t="s">
        <v>546</v>
      </c>
      <c r="L6" s="1046"/>
      <c r="M6" s="1046"/>
      <c r="N6" s="1046"/>
      <c r="O6" s="1046"/>
      <c r="P6" s="1046"/>
      <c r="Q6" s="1046"/>
      <c r="R6" s="1046"/>
      <c r="S6" s="1046"/>
    </row>
    <row r="7" spans="1:19" ht="31.5" customHeight="1" hidden="1" outlineLevel="1">
      <c r="A7" s="1046" t="s">
        <v>547</v>
      </c>
      <c r="B7" s="1046"/>
      <c r="C7" s="1046"/>
      <c r="D7" s="1046"/>
      <c r="E7" s="1046"/>
      <c r="F7" s="1046"/>
      <c r="G7" s="1046"/>
      <c r="K7" s="1046" t="s">
        <v>547</v>
      </c>
      <c r="L7" s="1046"/>
      <c r="M7" s="1046"/>
      <c r="N7" s="1046"/>
      <c r="O7" s="1046"/>
      <c r="P7" s="1046"/>
      <c r="Q7" s="1046"/>
      <c r="R7" s="1046"/>
      <c r="S7" s="1046"/>
    </row>
    <row r="8" spans="1:7" ht="15.75" hidden="1" outlineLevel="1">
      <c r="A8" s="267"/>
      <c r="B8" s="267"/>
      <c r="C8" s="267"/>
      <c r="D8" s="267"/>
      <c r="E8" s="267"/>
      <c r="F8" s="267"/>
      <c r="G8" s="267"/>
    </row>
    <row r="9" spans="1:19" ht="16.5" collapsed="1">
      <c r="A9" s="1053" t="s">
        <v>575</v>
      </c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53"/>
    </row>
    <row r="10" spans="1:19" ht="16.5">
      <c r="A10" s="1054" t="str">
        <f>'[2]4'!A10:S10</f>
        <v>ОАО "Электротехнический комплекс"</v>
      </c>
      <c r="B10" s="1054"/>
      <c r="C10" s="1054"/>
      <c r="D10" s="1054"/>
      <c r="E10" s="1054"/>
      <c r="F10" s="1054"/>
      <c r="G10" s="1054"/>
      <c r="H10" s="1054"/>
      <c r="I10" s="1054"/>
      <c r="J10" s="1054"/>
      <c r="K10" s="1054"/>
      <c r="L10" s="1054"/>
      <c r="M10" s="1054"/>
      <c r="N10" s="1054"/>
      <c r="O10" s="1054"/>
      <c r="P10" s="1054"/>
      <c r="Q10" s="1054"/>
      <c r="R10" s="1054"/>
      <c r="S10" s="1054"/>
    </row>
    <row r="11" spans="18:19" ht="20.25" customHeight="1" thickBot="1">
      <c r="R11" s="1055" t="s">
        <v>576</v>
      </c>
      <c r="S11" s="1055"/>
    </row>
    <row r="12" spans="1:19" s="315" customFormat="1" ht="30" customHeight="1">
      <c r="A12" s="1056" t="s">
        <v>550</v>
      </c>
      <c r="B12" s="1058" t="s">
        <v>198</v>
      </c>
      <c r="C12" s="1059"/>
      <c r="D12" s="1059"/>
      <c r="E12" s="1062" t="s">
        <v>1232</v>
      </c>
      <c r="F12" s="1063"/>
      <c r="G12" s="1063"/>
      <c r="H12" s="1063"/>
      <c r="I12" s="1064"/>
      <c r="J12" s="1065" t="s">
        <v>1233</v>
      </c>
      <c r="K12" s="1063"/>
      <c r="L12" s="1063"/>
      <c r="M12" s="1063"/>
      <c r="N12" s="1063"/>
      <c r="O12" s="1062" t="s">
        <v>1248</v>
      </c>
      <c r="P12" s="1063"/>
      <c r="Q12" s="1063"/>
      <c r="R12" s="1063"/>
      <c r="S12" s="1064"/>
    </row>
    <row r="13" spans="1:19" s="315" customFormat="1" ht="15">
      <c r="A13" s="1057"/>
      <c r="B13" s="1060"/>
      <c r="C13" s="1061"/>
      <c r="D13" s="1061"/>
      <c r="E13" s="316" t="s">
        <v>551</v>
      </c>
      <c r="F13" s="317" t="s">
        <v>97</v>
      </c>
      <c r="G13" s="317" t="s">
        <v>512</v>
      </c>
      <c r="H13" s="317" t="s">
        <v>513</v>
      </c>
      <c r="I13" s="318" t="s">
        <v>39</v>
      </c>
      <c r="J13" s="319" t="s">
        <v>551</v>
      </c>
      <c r="K13" s="317" t="s">
        <v>97</v>
      </c>
      <c r="L13" s="317" t="s">
        <v>512</v>
      </c>
      <c r="M13" s="317" t="s">
        <v>513</v>
      </c>
      <c r="N13" s="320" t="s">
        <v>39</v>
      </c>
      <c r="O13" s="316" t="s">
        <v>551</v>
      </c>
      <c r="P13" s="317" t="s">
        <v>97</v>
      </c>
      <c r="Q13" s="317" t="s">
        <v>512</v>
      </c>
      <c r="R13" s="317" t="s">
        <v>513</v>
      </c>
      <c r="S13" s="318" t="s">
        <v>39</v>
      </c>
    </row>
    <row r="14" spans="1:19" s="326" customFormat="1" ht="15.75" thickBot="1">
      <c r="A14" s="321">
        <v>1</v>
      </c>
      <c r="B14" s="1049">
        <v>2</v>
      </c>
      <c r="C14" s="1050"/>
      <c r="D14" s="1050"/>
      <c r="E14" s="321">
        <v>3</v>
      </c>
      <c r="F14" s="323">
        <v>4</v>
      </c>
      <c r="G14" s="323">
        <v>5</v>
      </c>
      <c r="H14" s="323">
        <v>6</v>
      </c>
      <c r="I14" s="324">
        <v>7</v>
      </c>
      <c r="J14" s="325">
        <v>8</v>
      </c>
      <c r="K14" s="323">
        <v>9</v>
      </c>
      <c r="L14" s="323">
        <v>10</v>
      </c>
      <c r="M14" s="323">
        <v>11</v>
      </c>
      <c r="N14" s="322">
        <v>12</v>
      </c>
      <c r="O14" s="321">
        <f>N14+1</f>
        <v>13</v>
      </c>
      <c r="P14" s="323">
        <f>O14+1</f>
        <v>14</v>
      </c>
      <c r="Q14" s="323">
        <f>P14+1</f>
        <v>15</v>
      </c>
      <c r="R14" s="323">
        <f>Q14+1</f>
        <v>16</v>
      </c>
      <c r="S14" s="324">
        <f>R14+1</f>
        <v>17</v>
      </c>
    </row>
    <row r="15" spans="1:19" ht="15">
      <c r="A15" s="327">
        <v>1</v>
      </c>
      <c r="B15" s="328"/>
      <c r="C15" s="329" t="s">
        <v>577</v>
      </c>
      <c r="D15" s="330"/>
      <c r="E15" s="331">
        <f>E16+E22</f>
        <v>54.319</v>
      </c>
      <c r="F15" s="332">
        <f>F16+F22</f>
        <v>46.802</v>
      </c>
      <c r="G15" s="332"/>
      <c r="H15" s="332">
        <f>H16+H23</f>
        <v>11.551</v>
      </c>
      <c r="I15" s="333">
        <f>I16</f>
        <v>0.536</v>
      </c>
      <c r="J15" s="331">
        <f>J23+J21</f>
        <v>56.004999999999995</v>
      </c>
      <c r="K15" s="332">
        <f>K23+K21</f>
        <v>47.967999999999996</v>
      </c>
      <c r="L15" s="332"/>
      <c r="M15" s="332">
        <f>M16+M23</f>
        <v>11.522</v>
      </c>
      <c r="N15" s="333">
        <f>N16</f>
        <v>0.758</v>
      </c>
      <c r="O15" s="331">
        <f>O16+O22</f>
        <v>53.55200000000001</v>
      </c>
      <c r="P15" s="332">
        <f>P16+P22</f>
        <v>46.035000000000004</v>
      </c>
      <c r="Q15" s="332"/>
      <c r="R15" s="332">
        <f>R16+R23</f>
        <v>11.545</v>
      </c>
      <c r="S15" s="333">
        <f>S16</f>
        <v>0.537</v>
      </c>
    </row>
    <row r="16" spans="1:20" ht="15">
      <c r="A16" s="334" t="s">
        <v>553</v>
      </c>
      <c r="B16" s="335"/>
      <c r="C16" s="336" t="s">
        <v>578</v>
      </c>
      <c r="D16" s="337"/>
      <c r="E16" s="338">
        <f>E18+E20</f>
        <v>49.118</v>
      </c>
      <c r="F16" s="339">
        <f>F18</f>
        <v>41.601</v>
      </c>
      <c r="G16" s="339"/>
      <c r="H16" s="339">
        <f>H18+H19+H20</f>
        <v>11.551</v>
      </c>
      <c r="I16" s="339">
        <f>I18+I19+I20</f>
        <v>0.536</v>
      </c>
      <c r="J16" s="338"/>
      <c r="K16" s="339"/>
      <c r="L16" s="339"/>
      <c r="M16" s="339">
        <f>M18+M19+M20</f>
        <v>3.485</v>
      </c>
      <c r="N16" s="339">
        <f>N18+N19+N20</f>
        <v>0.758</v>
      </c>
      <c r="O16" s="338">
        <f>O18+O20</f>
        <v>48.351000000000006</v>
      </c>
      <c r="P16" s="339">
        <f>P18</f>
        <v>40.834</v>
      </c>
      <c r="Q16" s="339"/>
      <c r="R16" s="339">
        <f>R18+R19+R20</f>
        <v>11.545</v>
      </c>
      <c r="S16" s="339">
        <f>S18+S19+S20</f>
        <v>0.537</v>
      </c>
      <c r="T16" s="340"/>
    </row>
    <row r="17" spans="1:20" ht="15">
      <c r="A17" s="287"/>
      <c r="B17" s="288"/>
      <c r="C17" s="289" t="s">
        <v>555</v>
      </c>
      <c r="D17" s="337"/>
      <c r="E17" s="338"/>
      <c r="F17" s="339"/>
      <c r="G17" s="339"/>
      <c r="H17" s="339"/>
      <c r="I17" s="341"/>
      <c r="J17" s="338"/>
      <c r="K17" s="339"/>
      <c r="L17" s="339"/>
      <c r="M17" s="339"/>
      <c r="N17" s="341"/>
      <c r="O17" s="338"/>
      <c r="P17" s="339"/>
      <c r="Q17" s="339"/>
      <c r="R17" s="339"/>
      <c r="S17" s="341"/>
      <c r="T17" s="340"/>
    </row>
    <row r="18" spans="1:20" ht="15">
      <c r="A18" s="287"/>
      <c r="B18" s="288"/>
      <c r="C18" s="289" t="s">
        <v>97</v>
      </c>
      <c r="D18" s="337"/>
      <c r="E18" s="338">
        <f>F18</f>
        <v>41.601</v>
      </c>
      <c r="F18" s="339">
        <v>41.601</v>
      </c>
      <c r="G18" s="339"/>
      <c r="H18" s="339">
        <v>4.034</v>
      </c>
      <c r="I18" s="341"/>
      <c r="J18" s="338"/>
      <c r="K18" s="339"/>
      <c r="L18" s="339"/>
      <c r="M18" s="339">
        <v>3.485</v>
      </c>
      <c r="N18" s="341"/>
      <c r="O18" s="338">
        <f>P18</f>
        <v>40.834</v>
      </c>
      <c r="P18" s="339">
        <v>40.834</v>
      </c>
      <c r="Q18" s="339"/>
      <c r="R18" s="339">
        <v>4.028</v>
      </c>
      <c r="S18" s="341"/>
      <c r="T18" s="340"/>
    </row>
    <row r="19" spans="1:20" ht="15">
      <c r="A19" s="287"/>
      <c r="B19" s="288"/>
      <c r="C19" s="289" t="s">
        <v>512</v>
      </c>
      <c r="D19" s="337"/>
      <c r="E19" s="338"/>
      <c r="F19" s="339"/>
      <c r="G19" s="339"/>
      <c r="H19" s="339"/>
      <c r="I19" s="341"/>
      <c r="J19" s="338"/>
      <c r="K19" s="339"/>
      <c r="L19" s="339"/>
      <c r="M19" s="339"/>
      <c r="N19" s="341"/>
      <c r="O19" s="338"/>
      <c r="P19" s="339"/>
      <c r="Q19" s="339"/>
      <c r="R19" s="339"/>
      <c r="S19" s="341"/>
      <c r="T19" s="340"/>
    </row>
    <row r="20" spans="1:20" ht="15">
      <c r="A20" s="287"/>
      <c r="B20" s="288"/>
      <c r="C20" s="289" t="s">
        <v>1254</v>
      </c>
      <c r="D20" s="337"/>
      <c r="E20" s="338">
        <f>H20</f>
        <v>7.517</v>
      </c>
      <c r="F20" s="339"/>
      <c r="G20" s="339"/>
      <c r="H20" s="339">
        <v>7.517</v>
      </c>
      <c r="I20" s="341">
        <v>0.536</v>
      </c>
      <c r="J20" s="338"/>
      <c r="K20" s="339"/>
      <c r="L20" s="339"/>
      <c r="M20" s="339"/>
      <c r="N20" s="341">
        <v>0.758</v>
      </c>
      <c r="O20" s="338">
        <f>R20</f>
        <v>7.517</v>
      </c>
      <c r="P20" s="339"/>
      <c r="Q20" s="339"/>
      <c r="R20" s="339">
        <v>7.517</v>
      </c>
      <c r="S20" s="341">
        <v>0.537</v>
      </c>
      <c r="T20" s="340"/>
    </row>
    <row r="21" spans="1:19" ht="15">
      <c r="A21" s="334" t="s">
        <v>556</v>
      </c>
      <c r="B21" s="335"/>
      <c r="C21" s="336" t="s">
        <v>579</v>
      </c>
      <c r="D21" s="337"/>
      <c r="E21" s="338"/>
      <c r="F21" s="339"/>
      <c r="G21" s="339"/>
      <c r="H21" s="339"/>
      <c r="I21" s="341"/>
      <c r="J21" s="338">
        <f>K21</f>
        <v>4.452</v>
      </c>
      <c r="K21" s="339">
        <v>4.452</v>
      </c>
      <c r="L21" s="339"/>
      <c r="M21" s="339"/>
      <c r="N21" s="341"/>
      <c r="O21" s="338"/>
      <c r="P21" s="339"/>
      <c r="Q21" s="339"/>
      <c r="R21" s="339"/>
      <c r="S21" s="341"/>
    </row>
    <row r="22" spans="1:19" ht="30">
      <c r="A22" s="342" t="s">
        <v>558</v>
      </c>
      <c r="B22" s="335"/>
      <c r="C22" s="336" t="s">
        <v>1259</v>
      </c>
      <c r="D22" s="337"/>
      <c r="E22" s="338">
        <f>F22</f>
        <v>5.201</v>
      </c>
      <c r="F22" s="339">
        <v>5.201</v>
      </c>
      <c r="G22" s="339"/>
      <c r="H22" s="339"/>
      <c r="I22" s="341"/>
      <c r="J22" s="338"/>
      <c r="K22" s="339"/>
      <c r="L22" s="339"/>
      <c r="M22" s="339"/>
      <c r="N22" s="341"/>
      <c r="O22" s="338">
        <f>P22</f>
        <v>5.201</v>
      </c>
      <c r="P22" s="339">
        <v>5.201</v>
      </c>
      <c r="Q22" s="339"/>
      <c r="R22" s="339"/>
      <c r="S22" s="341"/>
    </row>
    <row r="23" spans="1:19" ht="15">
      <c r="A23" s="334" t="s">
        <v>559</v>
      </c>
      <c r="B23" s="335"/>
      <c r="C23" s="336" t="s">
        <v>580</v>
      </c>
      <c r="D23" s="337"/>
      <c r="E23" s="338"/>
      <c r="F23" s="339"/>
      <c r="G23" s="339"/>
      <c r="H23" s="339"/>
      <c r="I23" s="341"/>
      <c r="J23" s="338">
        <f>K23+M23</f>
        <v>51.553</v>
      </c>
      <c r="K23" s="339">
        <v>43.516</v>
      </c>
      <c r="L23" s="339"/>
      <c r="M23" s="339">
        <v>8.037</v>
      </c>
      <c r="N23" s="341"/>
      <c r="O23" s="338"/>
      <c r="P23" s="339"/>
      <c r="Q23" s="339"/>
      <c r="R23" s="339"/>
      <c r="S23" s="341"/>
    </row>
    <row r="24" spans="1:19" ht="15">
      <c r="A24" s="334" t="s">
        <v>561</v>
      </c>
      <c r="B24" s="335"/>
      <c r="C24" s="336" t="s">
        <v>581</v>
      </c>
      <c r="D24" s="337"/>
      <c r="E24" s="338">
        <f>F24+H24+I24</f>
        <v>0.747</v>
      </c>
      <c r="F24" s="339">
        <v>0.498</v>
      </c>
      <c r="G24" s="339"/>
      <c r="H24" s="339">
        <v>0.245</v>
      </c>
      <c r="I24" s="341">
        <v>0.004</v>
      </c>
      <c r="J24" s="338">
        <f>K24+M24+N24</f>
        <v>0.8460000000000001</v>
      </c>
      <c r="K24" s="339">
        <v>0.68</v>
      </c>
      <c r="L24" s="339"/>
      <c r="M24" s="339">
        <v>0.153</v>
      </c>
      <c r="N24" s="341">
        <v>0.013</v>
      </c>
      <c r="O24" s="338">
        <f>P24+R24+S24</f>
        <v>0.755</v>
      </c>
      <c r="P24" s="339">
        <v>0.505</v>
      </c>
      <c r="Q24" s="339"/>
      <c r="R24" s="339">
        <v>0.246</v>
      </c>
      <c r="S24" s="341">
        <v>0.004</v>
      </c>
    </row>
    <row r="25" spans="1:19" s="347" customFormat="1" ht="15">
      <c r="A25" s="343"/>
      <c r="B25" s="344"/>
      <c r="C25" s="345" t="s">
        <v>582</v>
      </c>
      <c r="D25" s="346"/>
      <c r="E25" s="295">
        <f>E24/E15</f>
        <v>0.013752094110716323</v>
      </c>
      <c r="F25" s="296">
        <f>F24/F15</f>
        <v>0.010640570915772831</v>
      </c>
      <c r="G25" s="296"/>
      <c r="H25" s="296">
        <f>H24/H15</f>
        <v>0.021210284823824775</v>
      </c>
      <c r="I25" s="297">
        <f>I24/I15</f>
        <v>0.007462686567164179</v>
      </c>
      <c r="J25" s="295">
        <f>J24/J15</f>
        <v>0.01510579412552451</v>
      </c>
      <c r="K25" s="296">
        <f>K24/K15</f>
        <v>0.014176117411607741</v>
      </c>
      <c r="L25" s="296"/>
      <c r="M25" s="296">
        <f>M24/M15</f>
        <v>0.013278944627668807</v>
      </c>
      <c r="N25" s="297">
        <f>N24/N15</f>
        <v>0.017150395778364115</v>
      </c>
      <c r="O25" s="295">
        <f>O24/O15</f>
        <v>0.014098446369883477</v>
      </c>
      <c r="P25" s="296">
        <f>P24/P15</f>
        <v>0.010969914195720647</v>
      </c>
      <c r="Q25" s="296"/>
      <c r="R25" s="296">
        <f>R24/R15</f>
        <v>0.021307925508878302</v>
      </c>
      <c r="S25" s="297">
        <f>S24/S15</f>
        <v>0.0074487895716946</v>
      </c>
    </row>
    <row r="26" spans="1:19" ht="15">
      <c r="A26" s="342" t="s">
        <v>564</v>
      </c>
      <c r="B26" s="335"/>
      <c r="C26" s="336" t="s">
        <v>583</v>
      </c>
      <c r="D26" s="337"/>
      <c r="E26" s="338">
        <f>I26</f>
        <v>0.053</v>
      </c>
      <c r="F26" s="339"/>
      <c r="G26" s="339"/>
      <c r="H26" s="339"/>
      <c r="I26" s="341">
        <v>0.053</v>
      </c>
      <c r="J26" s="338">
        <f>N26</f>
        <v>0.053</v>
      </c>
      <c r="K26" s="339"/>
      <c r="L26" s="339"/>
      <c r="M26" s="339"/>
      <c r="N26" s="341">
        <v>0.053</v>
      </c>
      <c r="O26" s="338">
        <f>S26</f>
        <v>0.053</v>
      </c>
      <c r="P26" s="339"/>
      <c r="Q26" s="339"/>
      <c r="R26" s="339"/>
      <c r="S26" s="341">
        <v>0.053</v>
      </c>
    </row>
    <row r="27" spans="1:21" ht="15">
      <c r="A27" s="342" t="s">
        <v>156</v>
      </c>
      <c r="B27" s="335"/>
      <c r="C27" s="336" t="s">
        <v>584</v>
      </c>
      <c r="D27" s="337"/>
      <c r="E27" s="338">
        <f>E28+E30+E26</f>
        <v>53.572</v>
      </c>
      <c r="F27" s="339">
        <f>F28+F30+F31</f>
        <v>46.303999999999995</v>
      </c>
      <c r="G27" s="339"/>
      <c r="H27" s="339">
        <f>H28+H30+H31</f>
        <v>11.306</v>
      </c>
      <c r="I27" s="339">
        <f>I28+I30</f>
        <v>0.479</v>
      </c>
      <c r="J27" s="338">
        <f>J28+J30+J26</f>
        <v>55.159</v>
      </c>
      <c r="K27" s="339">
        <v>47.288</v>
      </c>
      <c r="L27" s="339"/>
      <c r="M27" s="339">
        <v>11.369</v>
      </c>
      <c r="N27" s="339">
        <v>0.745</v>
      </c>
      <c r="O27" s="338">
        <f>O28+O30+O26</f>
        <v>52.80499999999999</v>
      </c>
      <c r="P27" s="339">
        <f>P28+P30+P31</f>
        <v>45.529999999999994</v>
      </c>
      <c r="Q27" s="339"/>
      <c r="R27" s="339">
        <f>R28+R30+R31</f>
        <v>11.307</v>
      </c>
      <c r="S27" s="339">
        <f>S28+S30</f>
        <v>0.48</v>
      </c>
      <c r="T27" s="348">
        <f>'[2]6'!M26</f>
        <v>7051.42431268632</v>
      </c>
      <c r="U27" s="348">
        <f>'[2]6'!M21</f>
        <v>6898.675825084023</v>
      </c>
    </row>
    <row r="28" spans="1:19" ht="46.5" customHeight="1">
      <c r="A28" s="342" t="s">
        <v>568</v>
      </c>
      <c r="B28" s="335"/>
      <c r="C28" s="349" t="s">
        <v>585</v>
      </c>
      <c r="D28" s="337"/>
      <c r="E28" s="338">
        <f>SUM(F28:I28)</f>
        <v>32.938</v>
      </c>
      <c r="F28" s="339">
        <v>23.517</v>
      </c>
      <c r="G28" s="339"/>
      <c r="H28" s="339">
        <v>8.942</v>
      </c>
      <c r="I28" s="341">
        <v>0.479</v>
      </c>
      <c r="J28" s="338">
        <f>SUM(K28:N28)</f>
        <v>34.25</v>
      </c>
      <c r="K28" s="339">
        <v>24.825</v>
      </c>
      <c r="L28" s="339"/>
      <c r="M28" s="339">
        <v>8.733</v>
      </c>
      <c r="N28" s="341">
        <v>0.692</v>
      </c>
      <c r="O28" s="338">
        <f>SUM(P28:S28)</f>
        <v>32.171</v>
      </c>
      <c r="P28" s="339">
        <v>22.749</v>
      </c>
      <c r="Q28" s="339"/>
      <c r="R28" s="339">
        <v>8.942</v>
      </c>
      <c r="S28" s="341">
        <v>0.48</v>
      </c>
    </row>
    <row r="29" spans="1:19" ht="30.75" customHeight="1">
      <c r="A29" s="342" t="s">
        <v>573</v>
      </c>
      <c r="B29" s="335"/>
      <c r="C29" s="349" t="s">
        <v>1258</v>
      </c>
      <c r="D29" s="337"/>
      <c r="E29" s="338"/>
      <c r="F29" s="339"/>
      <c r="G29" s="339"/>
      <c r="H29" s="339"/>
      <c r="I29" s="341"/>
      <c r="J29" s="338"/>
      <c r="K29" s="339"/>
      <c r="L29" s="339"/>
      <c r="M29" s="339"/>
      <c r="N29" s="341"/>
      <c r="O29" s="338"/>
      <c r="P29" s="339"/>
      <c r="Q29" s="339"/>
      <c r="R29" s="339"/>
      <c r="S29" s="341"/>
    </row>
    <row r="30" spans="1:19" ht="15">
      <c r="A30" s="342" t="s">
        <v>1251</v>
      </c>
      <c r="B30" s="335"/>
      <c r="C30" s="336" t="str">
        <f>'[2]4'!C33</f>
        <v>в другие сетевые организации</v>
      </c>
      <c r="D30" s="337"/>
      <c r="E30" s="338">
        <f>SUM(F30:I30)</f>
        <v>20.581</v>
      </c>
      <c r="F30" s="339">
        <v>18.753</v>
      </c>
      <c r="G30" s="339"/>
      <c r="H30" s="339">
        <v>1.828</v>
      </c>
      <c r="I30" s="341"/>
      <c r="J30" s="338">
        <f>SUM(K30:N30)</f>
        <v>20.856</v>
      </c>
      <c r="K30" s="339">
        <v>18.978</v>
      </c>
      <c r="L30" s="339"/>
      <c r="M30" s="339">
        <v>1.878</v>
      </c>
      <c r="N30" s="341">
        <v>0</v>
      </c>
      <c r="O30" s="338">
        <f>SUM(P30:S30)</f>
        <v>20.581</v>
      </c>
      <c r="P30" s="339">
        <v>18.753</v>
      </c>
      <c r="Q30" s="339"/>
      <c r="R30" s="339">
        <v>1.828</v>
      </c>
      <c r="S30" s="341"/>
    </row>
    <row r="31" spans="1:19" ht="15.75" thickBot="1">
      <c r="A31" s="350" t="s">
        <v>157</v>
      </c>
      <c r="B31" s="351"/>
      <c r="C31" s="352" t="str">
        <f>'[2]4'!C34</f>
        <v>сальдо переток на более низкие уровни напряжения</v>
      </c>
      <c r="D31" s="353"/>
      <c r="E31" s="354"/>
      <c r="F31" s="355">
        <v>4.034</v>
      </c>
      <c r="G31" s="355"/>
      <c r="H31" s="355">
        <v>0.536</v>
      </c>
      <c r="I31" s="356"/>
      <c r="J31" s="354"/>
      <c r="K31" s="355"/>
      <c r="L31" s="355"/>
      <c r="M31" s="355"/>
      <c r="N31" s="356"/>
      <c r="O31" s="354"/>
      <c r="P31" s="355">
        <v>4.028</v>
      </c>
      <c r="Q31" s="355"/>
      <c r="R31" s="355">
        <v>0.537</v>
      </c>
      <c r="S31" s="356"/>
    </row>
    <row r="33" spans="1:19" ht="15">
      <c r="A33" s="1051" t="str">
        <f>'[2]4'!A36:I36</f>
        <v>Начальник ПЭО</v>
      </c>
      <c r="B33" s="1051"/>
      <c r="C33" s="1051"/>
      <c r="D33" s="1051"/>
      <c r="E33" s="1051"/>
      <c r="F33" s="1051"/>
      <c r="G33" s="1051"/>
      <c r="H33" s="1051"/>
      <c r="I33" s="1051"/>
      <c r="J33" s="1051" t="str">
        <f>'[2]4'!J36</f>
        <v>М.С. Мироненко</v>
      </c>
      <c r="K33" s="1051"/>
      <c r="L33" s="1051"/>
      <c r="M33" s="1051"/>
      <c r="N33" s="1051"/>
      <c r="O33" s="1051"/>
      <c r="P33" s="1051"/>
      <c r="Q33" s="1051"/>
      <c r="R33" s="1051"/>
      <c r="S33" s="1051"/>
    </row>
    <row r="34" spans="16:19" ht="15">
      <c r="P34" s="357">
        <v>6692</v>
      </c>
      <c r="Q34" s="358"/>
      <c r="R34" s="357">
        <v>4194</v>
      </c>
      <c r="S34" s="357">
        <v>1266</v>
      </c>
    </row>
    <row r="35" spans="16:19" ht="15">
      <c r="P35" s="1052" t="s">
        <v>586</v>
      </c>
      <c r="Q35" s="1052"/>
      <c r="R35" s="1052"/>
      <c r="S35" s="1052"/>
    </row>
  </sheetData>
  <sheetProtection/>
  <mergeCells count="25">
    <mergeCell ref="Q1:S1"/>
    <mergeCell ref="A2:G2"/>
    <mergeCell ref="K2:S2"/>
    <mergeCell ref="A3:G3"/>
    <mergeCell ref="K3:S3"/>
    <mergeCell ref="A4:G4"/>
    <mergeCell ref="K4:S4"/>
    <mergeCell ref="J12:N12"/>
    <mergeCell ref="O12:S12"/>
    <mergeCell ref="A5:G5"/>
    <mergeCell ref="K5:S5"/>
    <mergeCell ref="A6:G6"/>
    <mergeCell ref="K6:S6"/>
    <mergeCell ref="A7:G7"/>
    <mergeCell ref="K7:S7"/>
    <mergeCell ref="B14:D14"/>
    <mergeCell ref="A33:I33"/>
    <mergeCell ref="J33:S33"/>
    <mergeCell ref="P35:S35"/>
    <mergeCell ref="A9:S9"/>
    <mergeCell ref="A10:S10"/>
    <mergeCell ref="R11:S11"/>
    <mergeCell ref="A12:A13"/>
    <mergeCell ref="B12:D13"/>
    <mergeCell ref="E12:I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1200" verticalDpi="12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6.125" style="29" customWidth="1"/>
    <col min="2" max="2" width="12.375" style="29" customWidth="1"/>
    <col min="3" max="3" width="17.25390625" style="29" customWidth="1"/>
    <col min="4" max="4" width="9.375" style="29" customWidth="1"/>
    <col min="5" max="5" width="17.375" style="29" customWidth="1"/>
    <col min="6" max="6" width="12.875" style="29" customWidth="1"/>
    <col min="7" max="8" width="12.625" style="29" customWidth="1"/>
    <col min="9" max="9" width="11.375" style="29" customWidth="1"/>
    <col min="10" max="16384" width="9.125" style="29" customWidth="1"/>
  </cols>
  <sheetData>
    <row r="1" spans="1:9" ht="12.75">
      <c r="A1" s="28"/>
      <c r="D1" s="45"/>
      <c r="E1" s="45"/>
      <c r="F1" s="92" t="s">
        <v>58</v>
      </c>
      <c r="I1" s="92"/>
    </row>
    <row r="2" spans="1:9" ht="30.75" customHeight="1">
      <c r="A2" s="28"/>
      <c r="D2" s="1262" t="s">
        <v>522</v>
      </c>
      <c r="E2" s="1262"/>
      <c r="F2" s="1262"/>
      <c r="G2" s="1262"/>
      <c r="H2" s="1262"/>
      <c r="I2" s="1262"/>
    </row>
    <row r="3" spans="4:18" ht="12.75">
      <c r="D3" s="1263"/>
      <c r="E3" s="1263"/>
      <c r="F3" s="1263"/>
      <c r="G3" s="1263"/>
      <c r="H3" s="1263"/>
      <c r="I3" s="1263"/>
      <c r="J3" s="46"/>
      <c r="K3" s="46"/>
      <c r="L3" s="46"/>
      <c r="M3" s="46"/>
      <c r="N3" s="46"/>
      <c r="O3" s="46"/>
      <c r="P3" s="46"/>
      <c r="Q3" s="46"/>
      <c r="R3" s="46"/>
    </row>
    <row r="4" spans="1:9" ht="28.5" customHeight="1">
      <c r="A4" s="1260" t="s">
        <v>1240</v>
      </c>
      <c r="B4" s="1260"/>
      <c r="C4" s="1260"/>
      <c r="D4" s="1260"/>
      <c r="E4" s="1260"/>
      <c r="F4" s="1260"/>
      <c r="G4" s="1260"/>
      <c r="H4" s="1260"/>
      <c r="I4" s="1260"/>
    </row>
    <row r="5" spans="1:9" ht="14.2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1264"/>
      <c r="B6" s="1264"/>
      <c r="C6" s="1264"/>
      <c r="D6" s="1264"/>
      <c r="E6" s="1264"/>
      <c r="F6" s="1264"/>
      <c r="G6" s="1264"/>
      <c r="H6" s="1264"/>
      <c r="I6" s="1264"/>
    </row>
    <row r="7" ht="13.5" thickBot="1">
      <c r="F7" s="49"/>
    </row>
    <row r="8" spans="1:9" ht="65.25" customHeight="1" thickBot="1">
      <c r="A8" s="164" t="s">
        <v>38</v>
      </c>
      <c r="B8" s="114" t="s">
        <v>150</v>
      </c>
      <c r="C8" s="165" t="s">
        <v>137</v>
      </c>
      <c r="D8" s="114" t="s">
        <v>152</v>
      </c>
      <c r="E8" s="114" t="s">
        <v>47</v>
      </c>
      <c r="F8" s="144" t="s">
        <v>48</v>
      </c>
      <c r="G8" s="114" t="s">
        <v>0</v>
      </c>
      <c r="H8" s="114" t="s">
        <v>49</v>
      </c>
      <c r="I8" s="145" t="s">
        <v>153</v>
      </c>
    </row>
    <row r="9" spans="1:9" ht="12.75">
      <c r="A9" s="171">
        <v>1</v>
      </c>
      <c r="B9" s="172" t="s">
        <v>138</v>
      </c>
      <c r="C9" s="173" t="s">
        <v>33</v>
      </c>
      <c r="D9" s="19">
        <v>2807</v>
      </c>
      <c r="E9" s="19">
        <v>1.6</v>
      </c>
      <c r="F9" s="174">
        <v>0.73</v>
      </c>
      <c r="G9" s="19">
        <v>1.8</v>
      </c>
      <c r="H9" s="19">
        <v>1</v>
      </c>
      <c r="I9" s="175">
        <f>D9*E9*F9*G9*H9</f>
        <v>5901.4367999999995</v>
      </c>
    </row>
    <row r="10" spans="1:9" ht="15" customHeight="1">
      <c r="A10" s="57">
        <v>2</v>
      </c>
      <c r="B10" s="21" t="s">
        <v>139</v>
      </c>
      <c r="C10" s="21" t="s">
        <v>140</v>
      </c>
      <c r="D10" s="18">
        <v>2058</v>
      </c>
      <c r="E10" s="18">
        <v>1.6</v>
      </c>
      <c r="F10" s="170">
        <v>0.73</v>
      </c>
      <c r="G10" s="18">
        <v>1.8</v>
      </c>
      <c r="H10" s="18">
        <v>1.1</v>
      </c>
      <c r="I10" s="176">
        <f>D10*E10*F10*G10*H10</f>
        <v>4759.41312</v>
      </c>
    </row>
    <row r="11" spans="1:9" ht="15" customHeight="1">
      <c r="A11" s="57">
        <v>3</v>
      </c>
      <c r="B11" s="21" t="s">
        <v>1</v>
      </c>
      <c r="C11" s="21" t="s">
        <v>193</v>
      </c>
      <c r="D11" s="18">
        <v>2058</v>
      </c>
      <c r="E11" s="18">
        <v>1.6</v>
      </c>
      <c r="F11" s="170">
        <v>0.73</v>
      </c>
      <c r="G11" s="18">
        <v>1.8</v>
      </c>
      <c r="H11" s="18">
        <v>1.1</v>
      </c>
      <c r="I11" s="176">
        <f>D11*E11*F11*G11*H11</f>
        <v>4759.41312</v>
      </c>
    </row>
    <row r="12" spans="1:9" ht="12.75">
      <c r="A12" s="57">
        <v>4</v>
      </c>
      <c r="B12" s="21" t="s">
        <v>55</v>
      </c>
      <c r="C12" s="21" t="s">
        <v>194</v>
      </c>
      <c r="D12" s="18">
        <v>2058</v>
      </c>
      <c r="E12" s="18">
        <v>1.6</v>
      </c>
      <c r="F12" s="170">
        <v>0.73</v>
      </c>
      <c r="G12" s="18">
        <v>1.8</v>
      </c>
      <c r="H12" s="18">
        <v>1.2</v>
      </c>
      <c r="I12" s="176">
        <f>D12*E12*F12*G12*H12</f>
        <v>5192.087039999999</v>
      </c>
    </row>
    <row r="13" spans="1:9" ht="13.5" thickBot="1">
      <c r="A13" s="158">
        <v>5</v>
      </c>
      <c r="B13" s="177" t="s">
        <v>141</v>
      </c>
      <c r="C13" s="177" t="s">
        <v>142</v>
      </c>
      <c r="D13" s="178">
        <v>2058</v>
      </c>
      <c r="E13" s="178">
        <v>1.6</v>
      </c>
      <c r="F13" s="179">
        <v>0.73</v>
      </c>
      <c r="G13" s="178">
        <v>1.8</v>
      </c>
      <c r="H13" s="178">
        <v>1.1</v>
      </c>
      <c r="I13" s="180">
        <f>D13*E13*F13*H13*G13</f>
        <v>4759.413120000001</v>
      </c>
    </row>
    <row r="14" spans="1:9" s="112" customFormat="1" ht="26.25" thickBot="1">
      <c r="A14" s="166"/>
      <c r="B14" s="167" t="s">
        <v>155</v>
      </c>
      <c r="C14" s="167"/>
      <c r="D14" s="168"/>
      <c r="E14" s="168"/>
      <c r="F14" s="168"/>
      <c r="G14" s="168"/>
      <c r="H14" s="169"/>
      <c r="I14" s="1013">
        <f>SUM(I9:I13)</f>
        <v>25371.7632</v>
      </c>
    </row>
    <row r="15" spans="1:9" ht="12.75">
      <c r="A15" s="49"/>
      <c r="B15" s="50"/>
      <c r="C15" s="51"/>
      <c r="D15" s="51"/>
      <c r="E15" s="51"/>
      <c r="F15" s="51"/>
      <c r="G15" s="51"/>
      <c r="H15" s="51"/>
      <c r="I15" s="52"/>
    </row>
    <row r="16" spans="1:9" ht="12.75">
      <c r="A16" s="49"/>
      <c r="B16" s="50"/>
      <c r="C16" s="23"/>
      <c r="D16" s="51"/>
      <c r="E16" s="51"/>
      <c r="F16" s="51"/>
      <c r="G16" s="51"/>
      <c r="H16" s="51"/>
      <c r="I16" s="52"/>
    </row>
    <row r="17" spans="1:9" s="41" customFormat="1" ht="15.75">
      <c r="A17" s="1261" t="s">
        <v>59</v>
      </c>
      <c r="B17" s="1261"/>
      <c r="C17" s="23"/>
      <c r="D17" s="42"/>
      <c r="E17" s="42"/>
      <c r="F17" s="42"/>
      <c r="G17" s="1257" t="s">
        <v>60</v>
      </c>
      <c r="H17" s="1257"/>
      <c r="I17" s="1257"/>
    </row>
    <row r="18" spans="1:9" ht="13.5">
      <c r="A18" s="54"/>
      <c r="B18" s="55"/>
      <c r="C18" s="23"/>
      <c r="D18" s="56"/>
      <c r="E18" s="56"/>
      <c r="F18" s="56"/>
      <c r="G18" s="58"/>
      <c r="H18" s="58"/>
      <c r="I18" s="59"/>
    </row>
    <row r="19" spans="1:9" s="53" customFormat="1" ht="15">
      <c r="A19" s="42"/>
      <c r="B19" s="42"/>
      <c r="C19" s="23"/>
      <c r="D19" s="42"/>
      <c r="E19" s="42"/>
      <c r="F19" s="42"/>
      <c r="I19" s="44"/>
    </row>
    <row r="20" s="53" customFormat="1" ht="15"/>
    <row r="24" spans="1:3" ht="12.75">
      <c r="A24" s="1258"/>
      <c r="B24" s="1258"/>
      <c r="C24" s="1258"/>
    </row>
    <row r="28" s="53" customFormat="1" ht="15"/>
  </sheetData>
  <sheetProtection/>
  <mergeCells count="7">
    <mergeCell ref="D2:I2"/>
    <mergeCell ref="A17:B17"/>
    <mergeCell ref="G17:I17"/>
    <mergeCell ref="A24:C24"/>
    <mergeCell ref="D3:I3"/>
    <mergeCell ref="A4:I4"/>
    <mergeCell ref="A6:I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Footer>&amp;LИсп. Колышницына Н.В. т. 60-76-82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31"/>
  <sheetViews>
    <sheetView view="pageBreakPreview" zoomScaleSheetLayoutView="100" zoomScalePageLayoutView="0" workbookViewId="0" topLeftCell="A5">
      <selection activeCell="E8" sqref="E8"/>
    </sheetView>
  </sheetViews>
  <sheetFormatPr defaultColWidth="9.00390625" defaultRowHeight="12.75" outlineLevelRow="1"/>
  <cols>
    <col min="1" max="1" width="6.625" style="1" bestFit="1" customWidth="1"/>
    <col min="2" max="2" width="40.125" style="1" customWidth="1"/>
    <col min="3" max="3" width="14.00390625" style="27" customWidth="1"/>
    <col min="4" max="4" width="18.75390625" style="87" customWidth="1"/>
    <col min="5" max="5" width="18.125" style="87" customWidth="1"/>
    <col min="6" max="7" width="14.375" style="87" customWidth="1"/>
    <col min="8" max="8" width="14.875" style="27" bestFit="1" customWidth="1"/>
    <col min="9" max="16384" width="9.125" style="1" customWidth="1"/>
  </cols>
  <sheetData>
    <row r="1" ht="12.75">
      <c r="C1" s="73"/>
    </row>
    <row r="2" ht="12.75">
      <c r="C2" s="73"/>
    </row>
    <row r="3" ht="12.75"/>
    <row r="4" spans="1:8" ht="12.75" customHeight="1">
      <c r="A4" s="1256" t="s">
        <v>1243</v>
      </c>
      <c r="B4" s="1256"/>
      <c r="C4" s="1256"/>
      <c r="D4" s="1256"/>
      <c r="E4" s="1256"/>
      <c r="F4" s="1256"/>
      <c r="G4" s="1256"/>
      <c r="H4" s="1256"/>
    </row>
    <row r="5" ht="12.75"/>
    <row r="6" spans="1:8" ht="12.75" customHeight="1">
      <c r="A6" s="1269" t="s">
        <v>34</v>
      </c>
      <c r="B6" s="1269" t="s">
        <v>35</v>
      </c>
      <c r="C6" s="1268" t="s">
        <v>210</v>
      </c>
      <c r="D6" s="1268" t="s">
        <v>220</v>
      </c>
      <c r="E6" s="1265" t="s">
        <v>211</v>
      </c>
      <c r="F6" s="1270"/>
      <c r="G6" s="1271"/>
      <c r="H6" s="1265" t="s">
        <v>221</v>
      </c>
    </row>
    <row r="7" spans="1:8" ht="25.5">
      <c r="A7" s="1269"/>
      <c r="B7" s="1269"/>
      <c r="C7" s="1268"/>
      <c r="D7" s="1268"/>
      <c r="E7" s="10" t="s">
        <v>25</v>
      </c>
      <c r="F7" s="10" t="s">
        <v>217</v>
      </c>
      <c r="G7" s="10" t="s">
        <v>222</v>
      </c>
      <c r="H7" s="1266"/>
    </row>
    <row r="8" spans="1:8" ht="12.75">
      <c r="A8" s="7">
        <v>1</v>
      </c>
      <c r="B8" s="122" t="s">
        <v>216</v>
      </c>
      <c r="C8" s="120">
        <f>'КЛЭП и ВЛЭП'!F210+'ВН, СН, НН'!F523+'аморт 25'!F15</f>
        <v>17430670.53813931</v>
      </c>
      <c r="D8" s="201"/>
      <c r="E8" s="200">
        <f>'аморт 26'!T23</f>
        <v>1793840.2100000004</v>
      </c>
      <c r="F8" s="200">
        <f>$E8*F$23</f>
        <v>1779171.2392269874</v>
      </c>
      <c r="G8" s="200">
        <f aca="true" t="shared" si="0" ref="G8:G21">$E8*G$23</f>
        <v>14668.970773013167</v>
      </c>
      <c r="H8" s="201">
        <f>C8+D8+F8</f>
        <v>19209841.777366295</v>
      </c>
    </row>
    <row r="9" spans="1:8" ht="12.75">
      <c r="A9" s="7">
        <v>2</v>
      </c>
      <c r="B9" s="122" t="s">
        <v>213</v>
      </c>
      <c r="C9" s="120">
        <f>36119*1000/1.2-C8</f>
        <v>12668496.128527358</v>
      </c>
      <c r="D9" s="201"/>
      <c r="E9" s="200"/>
      <c r="F9" s="200">
        <f aca="true" t="shared" si="1" ref="F9:F21">$E9*F$23</f>
        <v>0</v>
      </c>
      <c r="G9" s="200">
        <f t="shared" si="0"/>
        <v>0</v>
      </c>
      <c r="H9" s="201">
        <f aca="true" t="shared" si="2" ref="H9:H21">C9+D9+F9</f>
        <v>12668496.128527358</v>
      </c>
    </row>
    <row r="10" spans="1:8" s="29" customFormat="1" ht="12.75">
      <c r="A10" s="7">
        <v>3</v>
      </c>
      <c r="B10" s="62" t="s">
        <v>212</v>
      </c>
      <c r="C10" s="121">
        <f>SUM(C11:C14)</f>
        <v>859783.7999999999</v>
      </c>
      <c r="D10" s="121">
        <f>SUM(D11:D13)</f>
        <v>0</v>
      </c>
      <c r="E10" s="121">
        <f>SUM(E11:E13)</f>
        <v>0</v>
      </c>
      <c r="F10" s="200">
        <f t="shared" si="1"/>
        <v>0</v>
      </c>
      <c r="G10" s="200">
        <f t="shared" si="0"/>
        <v>0</v>
      </c>
      <c r="H10" s="201">
        <f>C10+D10+F10</f>
        <v>859783.7999999999</v>
      </c>
    </row>
    <row r="11" spans="1:8" s="29" customFormat="1" ht="38.25">
      <c r="A11" s="196"/>
      <c r="B11" s="197" t="s">
        <v>527</v>
      </c>
      <c r="C11" s="157">
        <f>(478.28)*12</f>
        <v>5739.36</v>
      </c>
      <c r="D11" s="201"/>
      <c r="E11" s="200"/>
      <c r="F11" s="200">
        <f t="shared" si="1"/>
        <v>0</v>
      </c>
      <c r="G11" s="200">
        <f t="shared" si="0"/>
        <v>0</v>
      </c>
      <c r="H11" s="201">
        <f t="shared" si="2"/>
        <v>5739.36</v>
      </c>
    </row>
    <row r="12" spans="1:8" ht="51">
      <c r="A12" s="196"/>
      <c r="B12" s="198" t="s">
        <v>1244</v>
      </c>
      <c r="C12" s="120">
        <f>3330*12</f>
        <v>39960</v>
      </c>
      <c r="D12" s="201"/>
      <c r="E12" s="200"/>
      <c r="F12" s="200">
        <f t="shared" si="1"/>
        <v>0</v>
      </c>
      <c r="G12" s="200">
        <f t="shared" si="0"/>
        <v>0</v>
      </c>
      <c r="H12" s="201">
        <f t="shared" si="2"/>
        <v>39960</v>
      </c>
    </row>
    <row r="13" spans="1:8" s="12" customFormat="1" ht="25.5">
      <c r="A13" s="196"/>
      <c r="B13" s="195" t="s">
        <v>528</v>
      </c>
      <c r="C13" s="120">
        <f>67796.62*12</f>
        <v>813559.44</v>
      </c>
      <c r="D13" s="201"/>
      <c r="E13" s="200"/>
      <c r="F13" s="200">
        <f t="shared" si="1"/>
        <v>0</v>
      </c>
      <c r="G13" s="200">
        <f t="shared" si="0"/>
        <v>0</v>
      </c>
      <c r="H13" s="201">
        <f t="shared" si="2"/>
        <v>813559.44</v>
      </c>
    </row>
    <row r="14" spans="1:8" s="12" customFormat="1" ht="25.5">
      <c r="A14" s="196"/>
      <c r="B14" s="195" t="s">
        <v>529</v>
      </c>
      <c r="C14" s="120">
        <f>43.75*12</f>
        <v>525</v>
      </c>
      <c r="D14" s="201"/>
      <c r="E14" s="200"/>
      <c r="F14" s="200">
        <f t="shared" si="1"/>
        <v>0</v>
      </c>
      <c r="G14" s="200">
        <f t="shared" si="0"/>
        <v>0</v>
      </c>
      <c r="H14" s="201">
        <f t="shared" si="2"/>
        <v>525</v>
      </c>
    </row>
    <row r="15" spans="1:8" s="12" customFormat="1" ht="12.75">
      <c r="A15" s="196" t="s">
        <v>156</v>
      </c>
      <c r="B15" s="62" t="s">
        <v>499</v>
      </c>
      <c r="C15" s="120"/>
      <c r="D15" s="915">
        <f>'ОСАГО 25'!I14</f>
        <v>25371.7632</v>
      </c>
      <c r="E15" s="916">
        <f>'ОСАГО 26'!L11</f>
        <v>32901.4656</v>
      </c>
      <c r="F15" s="200">
        <f t="shared" si="1"/>
        <v>32632.416754631722</v>
      </c>
      <c r="G15" s="200">
        <f t="shared" si="0"/>
        <v>269.04884536828285</v>
      </c>
      <c r="H15" s="201">
        <f t="shared" si="2"/>
        <v>58004.17995463172</v>
      </c>
    </row>
    <row r="16" spans="1:8" s="12" customFormat="1" ht="12.75">
      <c r="A16" s="196" t="s">
        <v>157</v>
      </c>
      <c r="B16" s="61" t="s">
        <v>214</v>
      </c>
      <c r="C16" s="120">
        <f>C17+C18+C19</f>
        <v>1738031.6570011282</v>
      </c>
      <c r="D16" s="120">
        <f>D17+D18+D19</f>
        <v>0</v>
      </c>
      <c r="E16" s="120">
        <f>E17+E18+E19</f>
        <v>646512.6054599999</v>
      </c>
      <c r="F16" s="200">
        <f t="shared" si="1"/>
        <v>641225.8054089088</v>
      </c>
      <c r="G16" s="200">
        <f t="shared" si="0"/>
        <v>5286.800051091133</v>
      </c>
      <c r="H16" s="201">
        <f t="shared" si="2"/>
        <v>2379257.462410037</v>
      </c>
    </row>
    <row r="17" spans="1:8" s="12" customFormat="1" ht="12.75">
      <c r="A17" s="196"/>
      <c r="B17" s="195" t="s">
        <v>3</v>
      </c>
      <c r="C17" s="120">
        <f>'зем нал 25'!D20</f>
        <v>215215.23105</v>
      </c>
      <c r="D17" s="201"/>
      <c r="E17" s="200">
        <f>'зем н-г 26'!E8</f>
        <v>83277.5112</v>
      </c>
      <c r="F17" s="200">
        <f t="shared" si="1"/>
        <v>82596.51666602082</v>
      </c>
      <c r="G17" s="200">
        <f t="shared" si="0"/>
        <v>680.9945339791866</v>
      </c>
      <c r="H17" s="201">
        <f t="shared" si="2"/>
        <v>297811.7477160208</v>
      </c>
    </row>
    <row r="18" spans="1:8" s="12" customFormat="1" ht="12.75">
      <c r="A18" s="196"/>
      <c r="B18" s="195" t="s">
        <v>144</v>
      </c>
      <c r="C18" s="120">
        <f>'КЛЭП и ВЛЭП'!I210+'ВН, СН, НН'!I523+'аморт 25'!I15</f>
        <v>1512089.2259511282</v>
      </c>
      <c r="D18" s="201"/>
      <c r="E18" s="200">
        <f>'аморт 26'!W23</f>
        <v>545245.4442599999</v>
      </c>
      <c r="F18" s="200">
        <f t="shared" si="1"/>
        <v>540786.7475258196</v>
      </c>
      <c r="G18" s="200">
        <f t="shared" si="0"/>
        <v>4458.696734180418</v>
      </c>
      <c r="H18" s="201">
        <f t="shared" si="2"/>
        <v>2052875.9734769478</v>
      </c>
    </row>
    <row r="19" spans="1:8" s="12" customFormat="1" ht="12.75">
      <c r="A19" s="196"/>
      <c r="B19" s="195" t="s">
        <v>209</v>
      </c>
      <c r="C19" s="120">
        <f>'тр н-г 25'!F11</f>
        <v>10727.2</v>
      </c>
      <c r="D19" s="201"/>
      <c r="E19" s="200">
        <f>'тр н-г 26'!F10</f>
        <v>17989.65</v>
      </c>
      <c r="F19" s="200">
        <f t="shared" si="1"/>
        <v>17842.541217068476</v>
      </c>
      <c r="G19" s="200">
        <f t="shared" si="0"/>
        <v>147.10878293152783</v>
      </c>
      <c r="H19" s="201">
        <f t="shared" si="2"/>
        <v>28569.741217068477</v>
      </c>
    </row>
    <row r="20" spans="1:8" s="12" customFormat="1" ht="12.75" hidden="1" outlineLevel="1">
      <c r="A20" s="196" t="s">
        <v>158</v>
      </c>
      <c r="B20" s="119" t="s">
        <v>36</v>
      </c>
      <c r="C20" s="120"/>
      <c r="D20" s="201"/>
      <c r="E20" s="200"/>
      <c r="F20" s="200">
        <f t="shared" si="1"/>
        <v>0</v>
      </c>
      <c r="G20" s="200">
        <f t="shared" si="0"/>
        <v>0</v>
      </c>
      <c r="H20" s="201">
        <f t="shared" si="2"/>
        <v>0</v>
      </c>
    </row>
    <row r="21" spans="1:8" ht="12.75" hidden="1" outlineLevel="1">
      <c r="A21" s="63">
        <v>7</v>
      </c>
      <c r="B21" s="66" t="s">
        <v>215</v>
      </c>
      <c r="C21" s="191"/>
      <c r="D21" s="63"/>
      <c r="E21" s="63"/>
      <c r="F21" s="200">
        <f t="shared" si="1"/>
        <v>0</v>
      </c>
      <c r="G21" s="200">
        <f t="shared" si="0"/>
        <v>0</v>
      </c>
      <c r="H21" s="201">
        <f t="shared" si="2"/>
        <v>0</v>
      </c>
    </row>
    <row r="22" spans="1:8" s="5" customFormat="1" ht="12.75" collapsed="1">
      <c r="A22" s="4"/>
      <c r="B22" s="113" t="s">
        <v>131</v>
      </c>
      <c r="C22" s="199">
        <f aca="true" t="shared" si="3" ref="C22:H22">C8+C9+C10+C15+C16+C20+C21</f>
        <v>32696982.123667795</v>
      </c>
      <c r="D22" s="199">
        <f t="shared" si="3"/>
        <v>25371.7632</v>
      </c>
      <c r="E22" s="199">
        <f t="shared" si="3"/>
        <v>2473254.2810600004</v>
      </c>
      <c r="F22" s="199">
        <f t="shared" si="3"/>
        <v>2453029.461390528</v>
      </c>
      <c r="G22" s="199">
        <f t="shared" si="3"/>
        <v>20224.819669472585</v>
      </c>
      <c r="H22" s="199">
        <f t="shared" si="3"/>
        <v>35175383.348258324</v>
      </c>
    </row>
    <row r="23" spans="1:8" ht="12.75">
      <c r="A23" s="88"/>
      <c r="B23" s="108"/>
      <c r="C23" s="103"/>
      <c r="F23" s="235">
        <f>G30</f>
        <v>0.9918225878251369</v>
      </c>
      <c r="G23" s="87">
        <f>G31</f>
        <v>0.008177412174863202</v>
      </c>
      <c r="H23" s="87"/>
    </row>
    <row r="24" spans="1:3" ht="12.75">
      <c r="A24" s="88"/>
      <c r="B24" s="108"/>
      <c r="C24" s="103"/>
    </row>
    <row r="25" spans="1:8" ht="12.75">
      <c r="A25" s="1267" t="s">
        <v>59</v>
      </c>
      <c r="B25" s="1267"/>
      <c r="C25" s="24"/>
      <c r="F25" s="1"/>
      <c r="H25" s="24" t="s">
        <v>60</v>
      </c>
    </row>
    <row r="26" spans="1:2" ht="12.75">
      <c r="A26" s="5"/>
      <c r="B26" s="5"/>
    </row>
    <row r="27" spans="1:3" ht="12.75">
      <c r="A27" s="1267"/>
      <c r="B27" s="1267"/>
      <c r="C27" s="24"/>
    </row>
    <row r="28" ht="12.75"/>
    <row r="29" spans="2:7" ht="15">
      <c r="B29" s="206" t="s">
        <v>500</v>
      </c>
      <c r="F29" s="235">
        <f>F30+F31</f>
        <v>137396963.24146652</v>
      </c>
      <c r="G29" s="87">
        <f>G30+G31</f>
        <v>1</v>
      </c>
    </row>
    <row r="30" spans="2:7" ht="15">
      <c r="B30" s="236" t="s">
        <v>501</v>
      </c>
      <c r="F30" s="235">
        <f>'[1]2015-2019'!$J$64*1000</f>
        <v>136273411.64146653</v>
      </c>
      <c r="G30" s="87">
        <f>F30/F29</f>
        <v>0.9918225878251369</v>
      </c>
    </row>
    <row r="31" spans="2:7" ht="15">
      <c r="B31" s="236" t="s">
        <v>222</v>
      </c>
      <c r="F31" s="87">
        <f>280887.9*4</f>
        <v>1123551.6</v>
      </c>
      <c r="G31" s="87">
        <f>F31/F29</f>
        <v>0.008177412174863202</v>
      </c>
    </row>
  </sheetData>
  <sheetProtection/>
  <mergeCells count="9">
    <mergeCell ref="A4:H4"/>
    <mergeCell ref="H6:H7"/>
    <mergeCell ref="A25:B25"/>
    <mergeCell ref="A27:B27"/>
    <mergeCell ref="D6:D7"/>
    <mergeCell ref="C6:C7"/>
    <mergeCell ref="B6:B7"/>
    <mergeCell ref="A6:A7"/>
    <mergeCell ref="E6:G6"/>
  </mergeCells>
  <printOptions/>
  <pageMargins left="0.31496062992125984" right="0.31496062992125984" top="0.7874015748031497" bottom="0.35433070866141736" header="0.31496062992125984" footer="0.31496062992125984"/>
  <pageSetup fitToHeight="1" fitToWidth="1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27"/>
  <sheetViews>
    <sheetView view="pageBreakPreview" zoomScaleSheetLayoutView="100" zoomScalePageLayoutView="0" workbookViewId="0" topLeftCell="A1">
      <pane xSplit="1" ySplit="4" topLeftCell="B8" activePane="bottomRight" state="frozen"/>
      <selection pane="topLeft" activeCell="A4" sqref="A4:AB4"/>
      <selection pane="topRight" activeCell="A4" sqref="A4:AB4"/>
      <selection pane="bottomLeft" activeCell="A4" sqref="A4:AB4"/>
      <selection pane="bottomRight" activeCell="T16" sqref="T16"/>
    </sheetView>
  </sheetViews>
  <sheetFormatPr defaultColWidth="9.00390625" defaultRowHeight="12.75" outlineLevelRow="1" outlineLevelCol="1"/>
  <cols>
    <col min="1" max="1" width="43.75390625" style="131" customWidth="1"/>
    <col min="2" max="2" width="14.75390625" style="131" customWidth="1"/>
    <col min="3" max="3" width="14.75390625" style="131" hidden="1" customWidth="1" outlineLevel="1"/>
    <col min="4" max="4" width="14.125" style="131" hidden="1" customWidth="1" outlineLevel="1"/>
    <col min="5" max="5" width="14.75390625" style="131" hidden="1" customWidth="1" outlineLevel="1" collapsed="1"/>
    <col min="6" max="6" width="14.625" style="65" hidden="1" customWidth="1" outlineLevel="1"/>
    <col min="7" max="7" width="14.625" style="65" hidden="1" customWidth="1" outlineLevel="1" collapsed="1"/>
    <col min="8" max="8" width="14.625" style="65" hidden="1" customWidth="1" outlineLevel="1"/>
    <col min="9" max="9" width="14.625" style="65" hidden="1" customWidth="1" outlineLevel="1" collapsed="1"/>
    <col min="10" max="10" width="14.625" style="65" hidden="1" customWidth="1" outlineLevel="1"/>
    <col min="11" max="11" width="14.625" style="65" hidden="1" customWidth="1" outlineLevel="1" collapsed="1"/>
    <col min="12" max="12" width="14.625" style="65" hidden="1" customWidth="1" outlineLevel="1"/>
    <col min="13" max="13" width="14.625" style="65" hidden="1" customWidth="1" outlineLevel="1" collapsed="1"/>
    <col min="14" max="16" width="14.625" style="65" hidden="1" customWidth="1" outlineLevel="1"/>
    <col min="17" max="17" width="14.625" style="65" hidden="1" customWidth="1" outlineLevel="1" collapsed="1"/>
    <col min="18" max="18" width="14.625" style="65" hidden="1" customWidth="1" outlineLevel="1"/>
    <col min="19" max="19" width="14.625" style="65" customWidth="1" collapsed="1"/>
    <col min="20" max="21" width="14.625" style="65" customWidth="1"/>
    <col min="22" max="22" width="17.625" style="65" customWidth="1"/>
    <col min="23" max="23" width="15.375" style="65" customWidth="1"/>
    <col min="24" max="16384" width="9.125" style="65" customWidth="1"/>
  </cols>
  <sheetData>
    <row r="1" spans="1:23" ht="12.75">
      <c r="A1" s="1272" t="s">
        <v>923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272"/>
      <c r="T1" s="1272"/>
      <c r="U1" s="1272"/>
      <c r="V1" s="1272"/>
      <c r="W1" s="1272"/>
    </row>
    <row r="2" spans="1:5" ht="15.75" customHeight="1">
      <c r="A2" s="1273"/>
      <c r="B2" s="1273"/>
      <c r="C2" s="1273"/>
      <c r="D2" s="1273"/>
      <c r="E2" s="65"/>
    </row>
    <row r="3" spans="1:5" ht="11.25" customHeight="1">
      <c r="A3" s="123"/>
      <c r="B3" s="1274"/>
      <c r="C3" s="1274"/>
      <c r="D3" s="1274"/>
      <c r="E3" s="65"/>
    </row>
    <row r="4" spans="1:23" s="138" customFormat="1" ht="51">
      <c r="A4" s="137" t="s">
        <v>99</v>
      </c>
      <c r="B4" s="137" t="s">
        <v>130</v>
      </c>
      <c r="C4" s="137" t="s">
        <v>101</v>
      </c>
      <c r="D4" s="137" t="s">
        <v>102</v>
      </c>
      <c r="E4" s="137" t="s">
        <v>103</v>
      </c>
      <c r="F4" s="137" t="s">
        <v>104</v>
      </c>
      <c r="G4" s="137" t="s">
        <v>105</v>
      </c>
      <c r="H4" s="137" t="s">
        <v>44</v>
      </c>
      <c r="I4" s="137" t="s">
        <v>45</v>
      </c>
      <c r="J4" s="137" t="s">
        <v>76</v>
      </c>
      <c r="K4" s="137" t="s">
        <v>77</v>
      </c>
      <c r="L4" s="137" t="s">
        <v>218</v>
      </c>
      <c r="M4" s="137" t="s">
        <v>219</v>
      </c>
      <c r="N4" s="137" t="s">
        <v>498</v>
      </c>
      <c r="O4" s="137" t="s">
        <v>226</v>
      </c>
      <c r="P4" s="10" t="s">
        <v>517</v>
      </c>
      <c r="Q4" s="10" t="s">
        <v>518</v>
      </c>
      <c r="R4" s="10" t="s">
        <v>530</v>
      </c>
      <c r="S4" s="10" t="s">
        <v>531</v>
      </c>
      <c r="T4" s="10" t="s">
        <v>914</v>
      </c>
      <c r="U4" s="10" t="s">
        <v>915</v>
      </c>
      <c r="V4" s="10" t="s">
        <v>916</v>
      </c>
      <c r="W4" s="10" t="s">
        <v>917</v>
      </c>
    </row>
    <row r="5" spans="1:23" s="126" customFormat="1" ht="12.75">
      <c r="A5" s="124" t="s">
        <v>106</v>
      </c>
      <c r="B5" s="125">
        <f>B6</f>
        <v>50900000</v>
      </c>
      <c r="C5" s="125">
        <f aca="true" t="shared" si="0" ref="C5:W5">C6</f>
        <v>22104078.33</v>
      </c>
      <c r="D5" s="125">
        <f t="shared" si="0"/>
        <v>84053.07</v>
      </c>
      <c r="E5" s="125">
        <f t="shared" si="0"/>
        <v>21744538.44</v>
      </c>
      <c r="F5" s="125">
        <f t="shared" si="0"/>
        <v>1008636.8400000001</v>
      </c>
      <c r="G5" s="125">
        <f t="shared" si="0"/>
        <v>24828669.25</v>
      </c>
      <c r="H5" s="125">
        <f t="shared" si="0"/>
        <v>1008636.8400000001</v>
      </c>
      <c r="I5" s="125">
        <f t="shared" si="0"/>
        <v>24996003.02</v>
      </c>
      <c r="J5" s="125">
        <f t="shared" si="0"/>
        <v>1246537.44</v>
      </c>
      <c r="K5" s="125">
        <f t="shared" si="0"/>
        <v>24522114.86</v>
      </c>
      <c r="L5" s="125">
        <f t="shared" si="0"/>
        <v>1246537.44</v>
      </c>
      <c r="M5" s="125">
        <f t="shared" si="0"/>
        <v>27753611.39</v>
      </c>
      <c r="N5" s="125">
        <f t="shared" si="0"/>
        <v>1537396.08</v>
      </c>
      <c r="O5" s="125">
        <f t="shared" si="0"/>
        <v>27877047.98</v>
      </c>
      <c r="P5" s="125">
        <f t="shared" si="0"/>
        <v>2437007.01</v>
      </c>
      <c r="Q5" s="125">
        <f t="shared" si="0"/>
        <v>27160040.9</v>
      </c>
      <c r="R5" s="125">
        <f t="shared" si="0"/>
        <v>1691966.7600000002</v>
      </c>
      <c r="S5" s="125">
        <f t="shared" si="0"/>
        <v>25468074.139999997</v>
      </c>
      <c r="T5" s="125">
        <f t="shared" si="0"/>
        <v>1691966.7600000002</v>
      </c>
      <c r="U5" s="125">
        <f t="shared" si="0"/>
        <v>23776107.379999995</v>
      </c>
      <c r="V5" s="125">
        <f t="shared" si="0"/>
        <v>24622090.759999998</v>
      </c>
      <c r="W5" s="125">
        <f t="shared" si="0"/>
        <v>541685.9967199999</v>
      </c>
    </row>
    <row r="6" spans="1:23" ht="12.75">
      <c r="A6" s="127" t="s">
        <v>107</v>
      </c>
      <c r="B6" s="128">
        <v>50900000</v>
      </c>
      <c r="C6" s="128">
        <v>22104078.33</v>
      </c>
      <c r="D6" s="128">
        <v>84053.07</v>
      </c>
      <c r="E6" s="128">
        <v>21744538.44</v>
      </c>
      <c r="F6" s="160">
        <f>D6*12</f>
        <v>1008636.8400000001</v>
      </c>
      <c r="G6" s="129">
        <v>24828669.25</v>
      </c>
      <c r="H6" s="129">
        <f>F6</f>
        <v>1008636.8400000001</v>
      </c>
      <c r="I6" s="129">
        <v>24996003.02</v>
      </c>
      <c r="J6" s="129">
        <f>103878.12*12</f>
        <v>1246537.44</v>
      </c>
      <c r="K6" s="129">
        <v>24522114.86</v>
      </c>
      <c r="L6" s="129">
        <f>IF(J6&lt;=K6,J6,K6)</f>
        <v>1246537.44</v>
      </c>
      <c r="M6" s="129">
        <v>27753611.39</v>
      </c>
      <c r="N6" s="129">
        <f>256232.68*6</f>
        <v>1537396.08</v>
      </c>
      <c r="O6" s="129">
        <v>27877047.98</v>
      </c>
      <c r="P6" s="129">
        <v>2437007.01</v>
      </c>
      <c r="Q6" s="129">
        <v>27160040.9</v>
      </c>
      <c r="R6" s="129">
        <f>140997.23*12</f>
        <v>1691966.7600000002</v>
      </c>
      <c r="S6" s="129">
        <f>Q6-R6</f>
        <v>25468074.139999997</v>
      </c>
      <c r="T6" s="129">
        <f>140997.23*12</f>
        <v>1691966.7600000002</v>
      </c>
      <c r="U6" s="129">
        <f>S6-T6</f>
        <v>23776107.379999995</v>
      </c>
      <c r="V6" s="129">
        <f>(S6+U6)/2</f>
        <v>24622090.759999998</v>
      </c>
      <c r="W6" s="129">
        <f>V6*0.022</f>
        <v>541685.9967199999</v>
      </c>
    </row>
    <row r="7" spans="1:23" s="126" customFormat="1" ht="12.75">
      <c r="A7" s="124" t="s">
        <v>108</v>
      </c>
      <c r="B7" s="125">
        <f>SUM(B8:B12)</f>
        <v>642968.6100000001</v>
      </c>
      <c r="C7" s="125">
        <f aca="true" t="shared" si="1" ref="C7:W7">SUM(C8:C12)</f>
        <v>373150.76</v>
      </c>
      <c r="D7" s="125">
        <f t="shared" si="1"/>
        <v>2060.1</v>
      </c>
      <c r="E7" s="125">
        <f t="shared" si="1"/>
        <v>528791.73</v>
      </c>
      <c r="F7" s="125">
        <f t="shared" si="1"/>
        <v>30783.840000000004</v>
      </c>
      <c r="G7" s="125">
        <f t="shared" si="1"/>
        <v>498007.89</v>
      </c>
      <c r="H7" s="125">
        <f t="shared" si="1"/>
        <v>30783.840000000004</v>
      </c>
      <c r="I7" s="125">
        <f t="shared" si="1"/>
        <v>467224.04999999993</v>
      </c>
      <c r="J7" s="125">
        <f t="shared" si="1"/>
        <v>30783.840000000004</v>
      </c>
      <c r="K7" s="125">
        <f t="shared" si="1"/>
        <v>436440.20999999996</v>
      </c>
      <c r="L7" s="125">
        <f t="shared" si="1"/>
        <v>30783.840000000004</v>
      </c>
      <c r="M7" s="125">
        <f t="shared" si="1"/>
        <v>405656.36999999994</v>
      </c>
      <c r="N7" s="125">
        <f t="shared" si="1"/>
        <v>30783.840000000004</v>
      </c>
      <c r="O7" s="125">
        <f t="shared" si="1"/>
        <v>374872.5299999999</v>
      </c>
      <c r="P7" s="125">
        <f t="shared" si="1"/>
        <v>30783.840000000004</v>
      </c>
      <c r="Q7" s="125">
        <f t="shared" si="1"/>
        <v>344088.6899999999</v>
      </c>
      <c r="R7" s="125">
        <f t="shared" si="1"/>
        <v>30783.840000000004</v>
      </c>
      <c r="S7" s="125">
        <f t="shared" si="1"/>
        <v>313304.84999999986</v>
      </c>
      <c r="T7" s="125">
        <f t="shared" si="1"/>
        <v>28329.60999999999</v>
      </c>
      <c r="U7" s="125">
        <f t="shared" si="1"/>
        <v>284975.2399999999</v>
      </c>
      <c r="V7" s="125">
        <f t="shared" si="1"/>
        <v>299140.0449999999</v>
      </c>
      <c r="W7" s="125">
        <f t="shared" si="1"/>
        <v>3559.44754</v>
      </c>
    </row>
    <row r="8" spans="1:23" ht="25.5">
      <c r="A8" s="127" t="s">
        <v>109</v>
      </c>
      <c r="B8" s="128">
        <v>65677.97</v>
      </c>
      <c r="C8" s="128">
        <v>58864.97</v>
      </c>
      <c r="D8" s="128">
        <v>272.52</v>
      </c>
      <c r="E8" s="128">
        <f>C8-D8*12</f>
        <v>55594.73</v>
      </c>
      <c r="F8" s="129">
        <f>D8*12</f>
        <v>3270.24</v>
      </c>
      <c r="G8" s="129">
        <f>E8-F8</f>
        <v>52324.490000000005</v>
      </c>
      <c r="H8" s="129">
        <f>F8</f>
        <v>3270.24</v>
      </c>
      <c r="I8" s="129">
        <f>G8-H8</f>
        <v>49054.25000000001</v>
      </c>
      <c r="J8" s="129">
        <f>IF(H8&lt;=I8,H8,I8)</f>
        <v>3270.24</v>
      </c>
      <c r="K8" s="129">
        <f>I8-J8</f>
        <v>45784.01000000001</v>
      </c>
      <c r="L8" s="129">
        <f>IF(J8&lt;=K8,J8,K8)</f>
        <v>3270.24</v>
      </c>
      <c r="M8" s="129">
        <f>K8-L8</f>
        <v>42513.77000000001</v>
      </c>
      <c r="N8" s="129">
        <f>545.04*6</f>
        <v>3270.24</v>
      </c>
      <c r="O8" s="129">
        <f>M8-N8</f>
        <v>39243.53000000001</v>
      </c>
      <c r="P8" s="129">
        <f>IF(N8&lt;=O8,N8,O8)</f>
        <v>3270.24</v>
      </c>
      <c r="Q8" s="129">
        <f>O8-P8</f>
        <v>35973.290000000015</v>
      </c>
      <c r="R8" s="129">
        <f>IF(P8&lt;=Q8,P8,Q8)</f>
        <v>3270.24</v>
      </c>
      <c r="S8" s="129">
        <f>Q8-R8</f>
        <v>32703.050000000017</v>
      </c>
      <c r="T8" s="129">
        <f>IF(R8&lt;=S8,R8,S8)</f>
        <v>3270.24</v>
      </c>
      <c r="U8" s="129">
        <f>S8-T8</f>
        <v>29432.81000000002</v>
      </c>
      <c r="V8" s="129">
        <f>(S8+U8)/2</f>
        <v>31067.93000000002</v>
      </c>
      <c r="W8" s="129">
        <f>V8*0.022</f>
        <v>683.4944600000003</v>
      </c>
    </row>
    <row r="9" spans="1:23" ht="25.5">
      <c r="A9" s="127" t="s">
        <v>110</v>
      </c>
      <c r="B9" s="128">
        <v>131355.93</v>
      </c>
      <c r="C9" s="128">
        <v>117729.68</v>
      </c>
      <c r="D9" s="128">
        <v>545.05</v>
      </c>
      <c r="E9" s="128">
        <f>C9-D9*12</f>
        <v>111189.07999999999</v>
      </c>
      <c r="F9" s="129">
        <f>D9*12</f>
        <v>6540.599999999999</v>
      </c>
      <c r="G9" s="129">
        <f>E9-F9</f>
        <v>104648.47999999998</v>
      </c>
      <c r="H9" s="129">
        <f>F9</f>
        <v>6540.599999999999</v>
      </c>
      <c r="I9" s="129">
        <f>G9-H9</f>
        <v>98107.87999999998</v>
      </c>
      <c r="J9" s="129">
        <f>IF(H9&lt;=I9,H9,I9)</f>
        <v>6540.599999999999</v>
      </c>
      <c r="K9" s="129">
        <f>I9-J9</f>
        <v>91567.27999999997</v>
      </c>
      <c r="L9" s="129">
        <f>IF(J9&lt;=K9,J9,K9)</f>
        <v>6540.599999999999</v>
      </c>
      <c r="M9" s="129">
        <f>K9-L9</f>
        <v>85026.67999999996</v>
      </c>
      <c r="N9" s="129">
        <f>1090.1*6</f>
        <v>6540.599999999999</v>
      </c>
      <c r="O9" s="129">
        <f>M9-N9</f>
        <v>78486.07999999996</v>
      </c>
      <c r="P9" s="129">
        <f>IF(N9&lt;=O9,N9,O9)</f>
        <v>6540.599999999999</v>
      </c>
      <c r="Q9" s="129">
        <f>O9-P9</f>
        <v>71945.47999999995</v>
      </c>
      <c r="R9" s="129">
        <f aca="true" t="shared" si="2" ref="R9:T12">IF(P9&lt;=Q9,P9,Q9)</f>
        <v>6540.599999999999</v>
      </c>
      <c r="S9" s="129">
        <f>Q9-R9</f>
        <v>65404.879999999954</v>
      </c>
      <c r="T9" s="129">
        <f t="shared" si="2"/>
        <v>6540.599999999999</v>
      </c>
      <c r="U9" s="129">
        <f>S9-T9</f>
        <v>58864.279999999955</v>
      </c>
      <c r="V9" s="129">
        <f>(S9+U9)/2</f>
        <v>62134.57999999996</v>
      </c>
      <c r="W9" s="129">
        <f>V9*0.022</f>
        <v>1366.960759999999</v>
      </c>
    </row>
    <row r="10" spans="1:23" ht="12.75">
      <c r="A10" s="127" t="s">
        <v>111</v>
      </c>
      <c r="B10" s="128">
        <v>189303.39</v>
      </c>
      <c r="C10" s="128">
        <v>132739.38</v>
      </c>
      <c r="D10" s="128">
        <v>628.91</v>
      </c>
      <c r="E10" s="128">
        <f>C10-D10*12</f>
        <v>125192.46</v>
      </c>
      <c r="F10" s="129">
        <f>D10*12</f>
        <v>7546.92</v>
      </c>
      <c r="G10" s="129">
        <f>E10-F10</f>
        <v>117645.54000000001</v>
      </c>
      <c r="H10" s="129">
        <f>F10</f>
        <v>7546.92</v>
      </c>
      <c r="I10" s="129">
        <f>G10-H10</f>
        <v>110098.62000000001</v>
      </c>
      <c r="J10" s="129">
        <f>IF(H10&lt;=I10,H10,I10)</f>
        <v>7546.92</v>
      </c>
      <c r="K10" s="129">
        <f>I10-J10</f>
        <v>102551.70000000001</v>
      </c>
      <c r="L10" s="129">
        <f>IF(J10&lt;=K10,J10,K10)</f>
        <v>7546.92</v>
      </c>
      <c r="M10" s="129">
        <f>K10-L10</f>
        <v>95004.78000000001</v>
      </c>
      <c r="N10" s="129">
        <f>1257.82*6</f>
        <v>7546.92</v>
      </c>
      <c r="O10" s="129">
        <f>M10-N10</f>
        <v>87457.86000000002</v>
      </c>
      <c r="P10" s="129">
        <f>IF(N10&lt;=O10,N10,O10)</f>
        <v>7546.92</v>
      </c>
      <c r="Q10" s="129">
        <f>O10-P10</f>
        <v>79910.94000000002</v>
      </c>
      <c r="R10" s="129">
        <f t="shared" si="2"/>
        <v>7546.92</v>
      </c>
      <c r="S10" s="129">
        <f>Q10-R10</f>
        <v>72364.02000000002</v>
      </c>
      <c r="T10" s="129">
        <f t="shared" si="2"/>
        <v>7546.92</v>
      </c>
      <c r="U10" s="129">
        <f>S10-T10</f>
        <v>64817.10000000002</v>
      </c>
      <c r="V10" s="129">
        <f>(S10+U10)/2</f>
        <v>68590.56000000003</v>
      </c>
      <c r="W10" s="129">
        <f>V10*0.022</f>
        <v>1508.9923200000005</v>
      </c>
    </row>
    <row r="11" spans="1:23" ht="12.75">
      <c r="A11" s="127" t="s">
        <v>112</v>
      </c>
      <c r="B11" s="128">
        <v>74248.27</v>
      </c>
      <c r="C11" s="128">
        <v>63816.73</v>
      </c>
      <c r="D11" s="128">
        <v>613.62</v>
      </c>
      <c r="E11" s="128">
        <f>C11-D11*12</f>
        <v>56453.29</v>
      </c>
      <c r="F11" s="129">
        <f>D11*12</f>
        <v>7363.4400000000005</v>
      </c>
      <c r="G11" s="129">
        <f>E11-F11</f>
        <v>49089.85</v>
      </c>
      <c r="H11" s="129">
        <f>F11</f>
        <v>7363.4400000000005</v>
      </c>
      <c r="I11" s="129">
        <f>G11-H11</f>
        <v>41726.409999999996</v>
      </c>
      <c r="J11" s="129">
        <f>IF(H11&lt;=I11,H11,I11)</f>
        <v>7363.4400000000005</v>
      </c>
      <c r="K11" s="129">
        <f>I11-J11</f>
        <v>34362.969999999994</v>
      </c>
      <c r="L11" s="129">
        <f>IF(J11&lt;=K11,J11,K11)</f>
        <v>7363.4400000000005</v>
      </c>
      <c r="M11" s="129">
        <f>K11-L11</f>
        <v>26999.52999999999</v>
      </c>
      <c r="N11" s="129">
        <f>1227.24*6</f>
        <v>7363.4400000000005</v>
      </c>
      <c r="O11" s="129">
        <f>M11-N11</f>
        <v>19636.08999999999</v>
      </c>
      <c r="P11" s="129">
        <f>IF(N11&lt;=O11,N11,O11)</f>
        <v>7363.4400000000005</v>
      </c>
      <c r="Q11" s="129">
        <f>O11-P11</f>
        <v>12272.649999999989</v>
      </c>
      <c r="R11" s="129">
        <f t="shared" si="2"/>
        <v>7363.4400000000005</v>
      </c>
      <c r="S11" s="129">
        <f>Q11-R11</f>
        <v>4909.209999999988</v>
      </c>
      <c r="T11" s="129">
        <f t="shared" si="2"/>
        <v>4909.209999999988</v>
      </c>
      <c r="U11" s="129">
        <f>S11-T11</f>
        <v>0</v>
      </c>
      <c r="V11" s="129">
        <f>(S11+U11)/2</f>
        <v>2454.604999999994</v>
      </c>
      <c r="W11" s="129"/>
    </row>
    <row r="12" spans="1:23" ht="12.75">
      <c r="A12" s="127" t="s">
        <v>43</v>
      </c>
      <c r="B12" s="128">
        <v>182383.05</v>
      </c>
      <c r="C12" s="128"/>
      <c r="D12" s="128"/>
      <c r="E12" s="128">
        <v>180362.17</v>
      </c>
      <c r="F12" s="129">
        <f>505.22*12</f>
        <v>6062.64</v>
      </c>
      <c r="G12" s="129">
        <f>E12-F12</f>
        <v>174299.53</v>
      </c>
      <c r="H12" s="129">
        <f>F12</f>
        <v>6062.64</v>
      </c>
      <c r="I12" s="129">
        <f>G12-H12</f>
        <v>168236.88999999998</v>
      </c>
      <c r="J12" s="129">
        <f>IF(H12&lt;=I12,H12,I12)</f>
        <v>6062.64</v>
      </c>
      <c r="K12" s="129">
        <f>I12-J12</f>
        <v>162174.24999999997</v>
      </c>
      <c r="L12" s="129">
        <f>IF(J12&lt;=K12,J12,K12)</f>
        <v>6062.64</v>
      </c>
      <c r="M12" s="129">
        <f>K12-L12</f>
        <v>156111.60999999996</v>
      </c>
      <c r="N12" s="129">
        <f>1010.44*6</f>
        <v>6062.64</v>
      </c>
      <c r="O12" s="129">
        <f>M12-N12</f>
        <v>150048.96999999994</v>
      </c>
      <c r="P12" s="129">
        <f>IF(N12&lt;=O12,N12,O12)</f>
        <v>6062.64</v>
      </c>
      <c r="Q12" s="129">
        <f>O12-P12</f>
        <v>143986.32999999993</v>
      </c>
      <c r="R12" s="129">
        <f t="shared" si="2"/>
        <v>6062.64</v>
      </c>
      <c r="S12" s="129">
        <f>Q12-R12</f>
        <v>137923.68999999992</v>
      </c>
      <c r="T12" s="129">
        <f t="shared" si="2"/>
        <v>6062.64</v>
      </c>
      <c r="U12" s="129">
        <f>S12-T12</f>
        <v>131861.0499999999</v>
      </c>
      <c r="V12" s="129">
        <f>(S12+U12)/2</f>
        <v>134892.3699999999</v>
      </c>
      <c r="W12" s="129"/>
    </row>
    <row r="13" spans="1:23" s="126" customFormat="1" ht="12.75">
      <c r="A13" s="124" t="s">
        <v>113</v>
      </c>
      <c r="B13" s="125">
        <f aca="true" t="shared" si="3" ref="B13:W13">SUM(B14:B15)</f>
        <v>126966.67</v>
      </c>
      <c r="C13" s="125">
        <f t="shared" si="3"/>
        <v>75130.27</v>
      </c>
      <c r="D13" s="125">
        <f t="shared" si="3"/>
        <v>1366</v>
      </c>
      <c r="E13" s="125">
        <f t="shared" si="3"/>
        <v>58738.270000000004</v>
      </c>
      <c r="F13" s="125">
        <f t="shared" si="3"/>
        <v>16392</v>
      </c>
      <c r="G13" s="125">
        <f t="shared" si="3"/>
        <v>98608.46</v>
      </c>
      <c r="H13" s="125">
        <f t="shared" si="3"/>
        <v>29894.88</v>
      </c>
      <c r="I13" s="125">
        <f t="shared" si="3"/>
        <v>68713.58</v>
      </c>
      <c r="J13" s="125">
        <f t="shared" si="3"/>
        <v>29894.88</v>
      </c>
      <c r="K13" s="125">
        <f t="shared" si="3"/>
        <v>38818.7</v>
      </c>
      <c r="L13" s="125">
        <f t="shared" si="3"/>
        <v>23065.150000000005</v>
      </c>
      <c r="M13" s="125">
        <f t="shared" si="3"/>
        <v>0</v>
      </c>
      <c r="N13" s="125">
        <f t="shared" si="3"/>
        <v>0</v>
      </c>
      <c r="O13" s="125">
        <f t="shared" si="3"/>
        <v>0</v>
      </c>
      <c r="P13" s="125">
        <f t="shared" si="3"/>
        <v>4035.72</v>
      </c>
      <c r="Q13" s="125">
        <f t="shared" si="3"/>
        <v>122930.95</v>
      </c>
      <c r="R13" s="125">
        <f t="shared" si="3"/>
        <v>15118.080000000002</v>
      </c>
      <c r="S13" s="125">
        <f t="shared" si="3"/>
        <v>107812.87</v>
      </c>
      <c r="T13" s="125">
        <f t="shared" si="3"/>
        <v>15118.080000000002</v>
      </c>
      <c r="U13" s="125">
        <f t="shared" si="3"/>
        <v>92694.79</v>
      </c>
      <c r="V13" s="125">
        <f t="shared" si="3"/>
        <v>100253.82999999999</v>
      </c>
      <c r="W13" s="125">
        <f t="shared" si="3"/>
        <v>0</v>
      </c>
    </row>
    <row r="14" spans="1:23" ht="24">
      <c r="A14" s="880" t="s">
        <v>920</v>
      </c>
      <c r="B14" s="128">
        <v>56500</v>
      </c>
      <c r="C14" s="128">
        <v>75130.27</v>
      </c>
      <c r="D14" s="128">
        <v>1366</v>
      </c>
      <c r="E14" s="128">
        <f>C14-D14*12</f>
        <v>58738.270000000004</v>
      </c>
      <c r="F14" s="129">
        <f>D14*12</f>
        <v>16392</v>
      </c>
      <c r="G14" s="129">
        <f>E14-F14</f>
        <v>42346.270000000004</v>
      </c>
      <c r="H14" s="129">
        <f aca="true" t="shared" si="4" ref="H14:H19">F14</f>
        <v>16392</v>
      </c>
      <c r="I14" s="129">
        <f>G14-H14</f>
        <v>25954.270000000004</v>
      </c>
      <c r="J14" s="129">
        <f>IF(H14&lt;=I14,H14,I14)</f>
        <v>16392</v>
      </c>
      <c r="K14" s="129">
        <f>I14-J14</f>
        <v>9562.270000000004</v>
      </c>
      <c r="L14" s="129">
        <f>IF(J14&lt;=K14,J14,K14)</f>
        <v>9562.270000000004</v>
      </c>
      <c r="M14" s="129"/>
      <c r="N14" s="129"/>
      <c r="O14" s="129"/>
      <c r="P14" s="129">
        <v>4035.72</v>
      </c>
      <c r="Q14" s="129">
        <f>B14-P14</f>
        <v>52464.28</v>
      </c>
      <c r="R14" s="129">
        <f>672.62*12</f>
        <v>8071.4400000000005</v>
      </c>
      <c r="S14" s="129">
        <f>Q14-R14</f>
        <v>44392.84</v>
      </c>
      <c r="T14" s="129">
        <f>IF(R14&lt;=S14,R14,S14)</f>
        <v>8071.4400000000005</v>
      </c>
      <c r="U14" s="129">
        <f>S14-T14</f>
        <v>36321.399999999994</v>
      </c>
      <c r="V14" s="129">
        <f aca="true" t="shared" si="5" ref="V14:V20">(S14+U14)/2</f>
        <v>40357.119999999995</v>
      </c>
      <c r="W14" s="129"/>
    </row>
    <row r="15" spans="1:23" ht="12.75">
      <c r="A15" s="163" t="s">
        <v>919</v>
      </c>
      <c r="B15" s="128">
        <v>70466.67</v>
      </c>
      <c r="C15" s="128"/>
      <c r="D15" s="128"/>
      <c r="E15" s="128"/>
      <c r="F15" s="129"/>
      <c r="G15" s="129">
        <v>56262.19</v>
      </c>
      <c r="H15" s="129">
        <f>1125.24*12</f>
        <v>13502.880000000001</v>
      </c>
      <c r="I15" s="129">
        <f>G15-H15</f>
        <v>42759.31</v>
      </c>
      <c r="J15" s="129">
        <f>IF(H15&lt;=I15,H15,I15)</f>
        <v>13502.880000000001</v>
      </c>
      <c r="K15" s="129">
        <f>I15-J15</f>
        <v>29256.429999999997</v>
      </c>
      <c r="L15" s="129">
        <f>IF(J15&lt;=K15,J15,K15)</f>
        <v>13502.880000000001</v>
      </c>
      <c r="M15" s="129"/>
      <c r="N15" s="129"/>
      <c r="O15" s="129"/>
      <c r="P15" s="129"/>
      <c r="Q15" s="129">
        <v>70466.67</v>
      </c>
      <c r="R15" s="129">
        <f>587.22*12</f>
        <v>7046.64</v>
      </c>
      <c r="S15" s="129">
        <f>Q15-R15</f>
        <v>63420.03</v>
      </c>
      <c r="T15" s="129">
        <f>IF(R15&lt;=S15,R15,S15)</f>
        <v>7046.64</v>
      </c>
      <c r="U15" s="129">
        <f>S15-T15</f>
        <v>56373.39</v>
      </c>
      <c r="V15" s="129">
        <f t="shared" si="5"/>
        <v>59896.71</v>
      </c>
      <c r="W15" s="129"/>
    </row>
    <row r="16" spans="1:23" s="126" customFormat="1" ht="12.75">
      <c r="A16" s="124" t="s">
        <v>114</v>
      </c>
      <c r="B16" s="125">
        <f aca="true" t="shared" si="6" ref="B16:W16">SUM(B17:B20)</f>
        <v>248812.99000000002</v>
      </c>
      <c r="C16" s="125">
        <f t="shared" si="6"/>
        <v>166180.13</v>
      </c>
      <c r="D16" s="125">
        <f t="shared" si="6"/>
        <v>3100.23</v>
      </c>
      <c r="E16" s="125">
        <f t="shared" si="6"/>
        <v>228388.28</v>
      </c>
      <c r="F16" s="125">
        <f t="shared" si="6"/>
        <v>56437.31999999999</v>
      </c>
      <c r="G16" s="125">
        <f t="shared" si="6"/>
        <v>176096.89999999997</v>
      </c>
      <c r="H16" s="125">
        <f t="shared" si="6"/>
        <v>56437.31999999999</v>
      </c>
      <c r="I16" s="125">
        <f t="shared" si="6"/>
        <v>97231.57999999999</v>
      </c>
      <c r="J16" s="125">
        <f t="shared" si="6"/>
        <v>59252.659999999996</v>
      </c>
      <c r="K16" s="125">
        <f t="shared" si="6"/>
        <v>37978.92</v>
      </c>
      <c r="L16" s="125">
        <f t="shared" si="6"/>
        <v>20026.920000000002</v>
      </c>
      <c r="M16" s="125">
        <f t="shared" si="6"/>
        <v>106628.81</v>
      </c>
      <c r="N16" s="125">
        <f t="shared" si="6"/>
        <v>9884.76</v>
      </c>
      <c r="O16" s="125">
        <f t="shared" si="6"/>
        <v>84018.53</v>
      </c>
      <c r="P16" s="125">
        <f t="shared" si="6"/>
        <v>29135.96</v>
      </c>
      <c r="Q16" s="125">
        <f t="shared" si="6"/>
        <v>222915.90000000002</v>
      </c>
      <c r="R16" s="125">
        <f t="shared" si="6"/>
        <v>41235.920000000006</v>
      </c>
      <c r="S16" s="125">
        <f t="shared" si="6"/>
        <v>181679.98</v>
      </c>
      <c r="T16" s="125">
        <f t="shared" si="6"/>
        <v>38425.72</v>
      </c>
      <c r="U16" s="125">
        <f t="shared" si="6"/>
        <v>143254.25999999998</v>
      </c>
      <c r="V16" s="125">
        <f t="shared" si="6"/>
        <v>162467.12</v>
      </c>
      <c r="W16" s="125">
        <f t="shared" si="6"/>
        <v>0</v>
      </c>
    </row>
    <row r="17" spans="1:23" ht="36">
      <c r="A17" s="880" t="s">
        <v>922</v>
      </c>
      <c r="B17" s="128">
        <v>50584.74</v>
      </c>
      <c r="C17" s="128">
        <v>92747.62</v>
      </c>
      <c r="D17" s="128">
        <v>2107.9</v>
      </c>
      <c r="E17" s="128">
        <v>130328.6</v>
      </c>
      <c r="F17" s="129">
        <f>3034.2*12</f>
        <v>36410.399999999994</v>
      </c>
      <c r="G17" s="129">
        <v>98064.14</v>
      </c>
      <c r="H17" s="129">
        <f t="shared" si="4"/>
        <v>36410.399999999994</v>
      </c>
      <c r="I17" s="129">
        <v>39225.74</v>
      </c>
      <c r="J17" s="129">
        <f>I17</f>
        <v>39225.74</v>
      </c>
      <c r="K17" s="129">
        <f>I17-J17</f>
        <v>0</v>
      </c>
      <c r="L17" s="129">
        <f>IF(J17&lt;=K17,J17,K17)</f>
        <v>0</v>
      </c>
      <c r="M17" s="129"/>
      <c r="N17" s="129"/>
      <c r="O17" s="129">
        <v>47774.48</v>
      </c>
      <c r="P17" s="129">
        <v>16861.56</v>
      </c>
      <c r="Q17" s="129">
        <f>O17-P17</f>
        <v>30912.920000000002</v>
      </c>
      <c r="R17" s="129">
        <f>1405.13*12</f>
        <v>16861.56</v>
      </c>
      <c r="S17" s="129">
        <f>Q17-R17</f>
        <v>14051.36</v>
      </c>
      <c r="T17" s="129">
        <f>IF(R17&lt;=S17,R17,S17)</f>
        <v>14051.36</v>
      </c>
      <c r="U17" s="129">
        <f>S17-T17</f>
        <v>0</v>
      </c>
      <c r="V17" s="129">
        <f t="shared" si="5"/>
        <v>7025.68</v>
      </c>
      <c r="W17" s="129"/>
    </row>
    <row r="18" spans="1:23" ht="48">
      <c r="A18" s="880" t="s">
        <v>918</v>
      </c>
      <c r="B18" s="128">
        <v>107533.33</v>
      </c>
      <c r="C18" s="128">
        <v>73432.51</v>
      </c>
      <c r="D18" s="128">
        <v>992.33</v>
      </c>
      <c r="E18" s="128">
        <f>C18-D18*12</f>
        <v>61524.549999999996</v>
      </c>
      <c r="F18" s="129">
        <f>D18*12</f>
        <v>11907.960000000001</v>
      </c>
      <c r="G18" s="129">
        <f>E18-F18</f>
        <v>49616.59</v>
      </c>
      <c r="H18" s="129">
        <f t="shared" si="4"/>
        <v>11907.960000000001</v>
      </c>
      <c r="I18" s="129">
        <f>G18-H18</f>
        <v>37708.63</v>
      </c>
      <c r="J18" s="129">
        <f>IF(H18&lt;=I18,H18,I18)</f>
        <v>11907.960000000001</v>
      </c>
      <c r="K18" s="129">
        <f>I18-J18</f>
        <v>25800.67</v>
      </c>
      <c r="L18" s="129">
        <f>IF(J18&lt;=K18,J18,K18)</f>
        <v>11907.960000000001</v>
      </c>
      <c r="M18" s="129"/>
      <c r="N18" s="129"/>
      <c r="O18" s="129"/>
      <c r="P18" s="129">
        <v>2389.64</v>
      </c>
      <c r="Q18" s="129">
        <f>B18-P18</f>
        <v>105143.69</v>
      </c>
      <c r="R18" s="129">
        <f>IF(P18&lt;=Q18,P18,Q18)</f>
        <v>2389.64</v>
      </c>
      <c r="S18" s="129">
        <f>Q18-R18</f>
        <v>102754.05</v>
      </c>
      <c r="T18" s="129">
        <f>IF(R18&lt;=S18,R18,S18)</f>
        <v>2389.64</v>
      </c>
      <c r="U18" s="129">
        <f>S18-T18</f>
        <v>100364.41</v>
      </c>
      <c r="V18" s="129">
        <f t="shared" si="5"/>
        <v>101559.23000000001</v>
      </c>
      <c r="W18" s="129"/>
    </row>
    <row r="19" spans="1:23" ht="36" outlineLevel="1">
      <c r="A19" s="880" t="s">
        <v>921</v>
      </c>
      <c r="B19" s="128">
        <v>41271.19</v>
      </c>
      <c r="C19" s="128"/>
      <c r="D19" s="128"/>
      <c r="E19" s="128">
        <v>36535.13</v>
      </c>
      <c r="F19" s="129">
        <f>676.58*12</f>
        <v>8118.960000000001</v>
      </c>
      <c r="G19" s="129">
        <f>E19-F19</f>
        <v>28416.17</v>
      </c>
      <c r="H19" s="129">
        <f t="shared" si="4"/>
        <v>8118.960000000001</v>
      </c>
      <c r="I19" s="129">
        <f>G19-H19</f>
        <v>20297.21</v>
      </c>
      <c r="J19" s="129">
        <f>IF(H19&lt;=I19,H19,I19)</f>
        <v>8118.960000000001</v>
      </c>
      <c r="K19" s="129">
        <f>I19-J19</f>
        <v>12178.249999999998</v>
      </c>
      <c r="L19" s="129">
        <f>IF(J19&lt;=K19,J19,K19)</f>
        <v>8118.960000000001</v>
      </c>
      <c r="M19" s="129">
        <v>60500</v>
      </c>
      <c r="N19" s="129"/>
      <c r="O19" s="129"/>
      <c r="P19" s="129"/>
      <c r="Q19" s="129">
        <f>60500</f>
        <v>60500</v>
      </c>
      <c r="R19" s="129">
        <f>1008.33*12</f>
        <v>12099.960000000001</v>
      </c>
      <c r="S19" s="129">
        <f>Q19-R19</f>
        <v>48400.04</v>
      </c>
      <c r="T19" s="129">
        <f>IF(R19&lt;=S19,R19,S19)</f>
        <v>12099.960000000001</v>
      </c>
      <c r="U19" s="129">
        <f>S19-T19</f>
        <v>36300.08</v>
      </c>
      <c r="V19" s="129">
        <f t="shared" si="5"/>
        <v>42350.06</v>
      </c>
      <c r="W19" s="129"/>
    </row>
    <row r="20" spans="1:23" ht="12.75">
      <c r="A20" s="127" t="s">
        <v>525</v>
      </c>
      <c r="B20" s="128">
        <v>49423.73</v>
      </c>
      <c r="C20" s="128"/>
      <c r="D20" s="128"/>
      <c r="E20" s="128"/>
      <c r="F20" s="129"/>
      <c r="G20" s="129"/>
      <c r="H20" s="129"/>
      <c r="I20" s="129"/>
      <c r="J20" s="129"/>
      <c r="K20" s="129"/>
      <c r="L20" s="129"/>
      <c r="M20" s="129">
        <v>46128.81</v>
      </c>
      <c r="N20" s="129">
        <f>1647.46*6</f>
        <v>9884.76</v>
      </c>
      <c r="O20" s="129">
        <f>M20-N20</f>
        <v>36244.049999999996</v>
      </c>
      <c r="P20" s="129">
        <f>IF(N20&lt;=O20,N20,O20)</f>
        <v>9884.76</v>
      </c>
      <c r="Q20" s="129">
        <f>O20-P20</f>
        <v>26359.289999999994</v>
      </c>
      <c r="R20" s="129">
        <f>IF(P20&lt;=Q20,P20,Q20)</f>
        <v>9884.76</v>
      </c>
      <c r="S20" s="129">
        <f>Q20-R20</f>
        <v>16474.52999999999</v>
      </c>
      <c r="T20" s="129">
        <f>IF(R20&lt;=S20,R20,S20)</f>
        <v>9884.76</v>
      </c>
      <c r="U20" s="129">
        <f>S20-T20</f>
        <v>6589.769999999991</v>
      </c>
      <c r="V20" s="129">
        <f t="shared" si="5"/>
        <v>11532.14999999999</v>
      </c>
      <c r="W20" s="129"/>
    </row>
    <row r="21" spans="1:23" s="126" customFormat="1" ht="12.75">
      <c r="A21" s="124" t="s">
        <v>115</v>
      </c>
      <c r="B21" s="125">
        <f aca="true" t="shared" si="7" ref="B21:W21">SUM(B22:B22)</f>
        <v>100000</v>
      </c>
      <c r="C21" s="125">
        <f t="shared" si="7"/>
        <v>0</v>
      </c>
      <c r="D21" s="125">
        <f t="shared" si="7"/>
        <v>0</v>
      </c>
      <c r="E21" s="125">
        <f t="shared" si="7"/>
        <v>0</v>
      </c>
      <c r="F21" s="125">
        <f t="shared" si="7"/>
        <v>0</v>
      </c>
      <c r="G21" s="125">
        <f t="shared" si="7"/>
        <v>0</v>
      </c>
      <c r="H21" s="125">
        <f t="shared" si="7"/>
        <v>0</v>
      </c>
      <c r="I21" s="125">
        <f t="shared" si="7"/>
        <v>0</v>
      </c>
      <c r="J21" s="125">
        <f t="shared" si="7"/>
        <v>0</v>
      </c>
      <c r="K21" s="125">
        <f t="shared" si="7"/>
        <v>0</v>
      </c>
      <c r="L21" s="125">
        <f t="shared" si="7"/>
        <v>0</v>
      </c>
      <c r="M21" s="125">
        <f t="shared" si="7"/>
        <v>98333.33</v>
      </c>
      <c r="N21" s="125">
        <f t="shared" si="7"/>
        <v>20000.04</v>
      </c>
      <c r="O21" s="125">
        <f t="shared" si="7"/>
        <v>78333.29000000001</v>
      </c>
      <c r="P21" s="125">
        <f t="shared" si="7"/>
        <v>20000.04</v>
      </c>
      <c r="Q21" s="125">
        <f t="shared" si="7"/>
        <v>58333.25000000001</v>
      </c>
      <c r="R21" s="125">
        <f t="shared" si="7"/>
        <v>20000.04</v>
      </c>
      <c r="S21" s="125">
        <f t="shared" si="7"/>
        <v>38333.21000000001</v>
      </c>
      <c r="T21" s="125">
        <f t="shared" si="7"/>
        <v>20000.04</v>
      </c>
      <c r="U21" s="125">
        <f t="shared" si="7"/>
        <v>18333.170000000006</v>
      </c>
      <c r="V21" s="125">
        <f t="shared" si="7"/>
        <v>28333.190000000006</v>
      </c>
      <c r="W21" s="125">
        <f t="shared" si="7"/>
        <v>0</v>
      </c>
    </row>
    <row r="22" spans="1:23" ht="12.75">
      <c r="A22" s="127" t="s">
        <v>524</v>
      </c>
      <c r="B22" s="128">
        <v>100000</v>
      </c>
      <c r="C22" s="128"/>
      <c r="D22" s="128"/>
      <c r="E22" s="128"/>
      <c r="F22" s="129"/>
      <c r="G22" s="129"/>
      <c r="H22" s="129"/>
      <c r="I22" s="129"/>
      <c r="J22" s="129"/>
      <c r="K22" s="129"/>
      <c r="L22" s="129"/>
      <c r="M22" s="129">
        <v>98333.33</v>
      </c>
      <c r="N22" s="129">
        <f>3333.34*6</f>
        <v>20000.04</v>
      </c>
      <c r="O22" s="129">
        <f>M22-N22</f>
        <v>78333.29000000001</v>
      </c>
      <c r="P22" s="129">
        <f>IF(N22&lt;=O22,N22,O22)</f>
        <v>20000.04</v>
      </c>
      <c r="Q22" s="129">
        <f>O22-P22</f>
        <v>58333.25000000001</v>
      </c>
      <c r="R22" s="129">
        <f>IF(P22&lt;=Q22,P22,Q22)</f>
        <v>20000.04</v>
      </c>
      <c r="S22" s="129">
        <f>Q22-R22</f>
        <v>38333.21000000001</v>
      </c>
      <c r="T22" s="129">
        <f>IF(R22&lt;=S22,R22,S22)</f>
        <v>20000.04</v>
      </c>
      <c r="U22" s="129">
        <f>S22-T22</f>
        <v>18333.170000000006</v>
      </c>
      <c r="V22" s="129">
        <f>(S22+U22)/2</f>
        <v>28333.190000000006</v>
      </c>
      <c r="W22" s="129"/>
    </row>
    <row r="23" spans="1:23" ht="12.75">
      <c r="A23" s="130" t="s">
        <v>131</v>
      </c>
      <c r="B23" s="125">
        <f aca="true" t="shared" si="8" ref="B23:W23">B5+B7+B13+B16+B21</f>
        <v>52018748.27</v>
      </c>
      <c r="C23" s="125">
        <f t="shared" si="8"/>
        <v>22718539.49</v>
      </c>
      <c r="D23" s="125">
        <f t="shared" si="8"/>
        <v>90579.40000000001</v>
      </c>
      <c r="E23" s="125">
        <f t="shared" si="8"/>
        <v>22560456.720000003</v>
      </c>
      <c r="F23" s="125">
        <f t="shared" si="8"/>
        <v>1112250.0000000002</v>
      </c>
      <c r="G23" s="125">
        <f t="shared" si="8"/>
        <v>25601382.5</v>
      </c>
      <c r="H23" s="125">
        <f t="shared" si="8"/>
        <v>1125752.8800000001</v>
      </c>
      <c r="I23" s="125">
        <f t="shared" si="8"/>
        <v>25629172.229999997</v>
      </c>
      <c r="J23" s="125">
        <f t="shared" si="8"/>
        <v>1366468.8199999998</v>
      </c>
      <c r="K23" s="125">
        <f t="shared" si="8"/>
        <v>25035352.69</v>
      </c>
      <c r="L23" s="125">
        <f t="shared" si="8"/>
        <v>1320413.3499999999</v>
      </c>
      <c r="M23" s="125">
        <f t="shared" si="8"/>
        <v>28364229.9</v>
      </c>
      <c r="N23" s="125">
        <f t="shared" si="8"/>
        <v>1598064.7200000002</v>
      </c>
      <c r="O23" s="125">
        <f t="shared" si="8"/>
        <v>28414272.330000002</v>
      </c>
      <c r="P23" s="125">
        <f t="shared" si="8"/>
        <v>2520962.57</v>
      </c>
      <c r="Q23" s="125">
        <f t="shared" si="8"/>
        <v>27908309.689999998</v>
      </c>
      <c r="R23" s="125">
        <f t="shared" si="8"/>
        <v>1799104.6400000004</v>
      </c>
      <c r="S23" s="125">
        <f t="shared" si="8"/>
        <v>26109205.05</v>
      </c>
      <c r="T23" s="125">
        <f t="shared" si="8"/>
        <v>1793840.2100000004</v>
      </c>
      <c r="U23" s="125">
        <f t="shared" si="8"/>
        <v>24315364.839999996</v>
      </c>
      <c r="V23" s="125">
        <f t="shared" si="8"/>
        <v>25212284.945</v>
      </c>
      <c r="W23" s="125">
        <f t="shared" si="8"/>
        <v>545245.4442599999</v>
      </c>
    </row>
    <row r="26" spans="1:23" s="136" customFormat="1" ht="11.25" customHeight="1">
      <c r="A26" s="134" t="s">
        <v>59</v>
      </c>
      <c r="B26" s="135"/>
      <c r="C26" s="134"/>
      <c r="D26" s="135"/>
      <c r="W26" s="139" t="s">
        <v>60</v>
      </c>
    </row>
    <row r="27" spans="1:4" ht="12.75">
      <c r="A27" s="132"/>
      <c r="B27" s="133"/>
      <c r="C27" s="133"/>
      <c r="D27" s="133"/>
    </row>
  </sheetData>
  <sheetProtection/>
  <mergeCells count="3">
    <mergeCell ref="A1:W1"/>
    <mergeCell ref="A2:D2"/>
    <mergeCell ref="B3:D3"/>
  </mergeCells>
  <printOptions/>
  <pageMargins left="0.7874015748031497" right="0.3937007874015748" top="0.3937007874015748" bottom="0.3937007874015748" header="0.5118110236220472" footer="0.5118110236220472"/>
  <pageSetup fitToHeight="3" fitToWidth="1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1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5.375" style="29" customWidth="1"/>
    <col min="2" max="2" width="33.75390625" style="29" customWidth="1"/>
    <col min="3" max="3" width="11.25390625" style="29" bestFit="1" customWidth="1"/>
    <col min="4" max="4" width="16.25390625" style="29" bestFit="1" customWidth="1"/>
    <col min="5" max="5" width="11.00390625" style="29" customWidth="1"/>
    <col min="6" max="6" width="12.625" style="29" bestFit="1" customWidth="1"/>
    <col min="7" max="7" width="12.625" style="29" customWidth="1"/>
    <col min="8" max="16384" width="9.125" style="29" customWidth="1"/>
  </cols>
  <sheetData>
    <row r="1" spans="1:6" ht="12.75">
      <c r="A1" s="28"/>
      <c r="C1" s="30"/>
      <c r="D1" s="1275"/>
      <c r="E1" s="1275"/>
      <c r="F1" s="1275"/>
    </row>
    <row r="2" spans="1:6" ht="24.75" customHeight="1">
      <c r="A2" s="28"/>
      <c r="C2" s="30"/>
      <c r="D2" s="1276"/>
      <c r="E2" s="1276"/>
      <c r="F2" s="1276"/>
    </row>
    <row r="3" spans="3:9" ht="12.75">
      <c r="C3" s="1263"/>
      <c r="D3" s="1263"/>
      <c r="E3" s="1263"/>
      <c r="F3" s="1263"/>
      <c r="G3" s="31"/>
      <c r="H3" s="31"/>
      <c r="I3" s="31"/>
    </row>
    <row r="4" spans="1:8" s="32" customFormat="1" ht="13.5">
      <c r="A4" s="1278" t="s">
        <v>1239</v>
      </c>
      <c r="B4" s="1278"/>
      <c r="C4" s="1278"/>
      <c r="D4" s="1278"/>
      <c r="E4" s="1278"/>
      <c r="F4" s="1278"/>
      <c r="G4" s="17"/>
      <c r="H4" s="17"/>
    </row>
    <row r="5" spans="2:8" s="32" customFormat="1" ht="14.25" thickBot="1">
      <c r="B5" s="29"/>
      <c r="C5" s="29"/>
      <c r="D5" s="29"/>
      <c r="E5" s="29"/>
      <c r="F5" s="29"/>
      <c r="G5" s="33"/>
      <c r="H5" s="33"/>
    </row>
    <row r="6" spans="1:8" s="32" customFormat="1" ht="41.25" thickBot="1">
      <c r="A6" s="74" t="s">
        <v>145</v>
      </c>
      <c r="B6" s="75" t="s">
        <v>146</v>
      </c>
      <c r="C6" s="75" t="s">
        <v>147</v>
      </c>
      <c r="D6" s="76" t="s">
        <v>148</v>
      </c>
      <c r="E6" s="76" t="s">
        <v>30</v>
      </c>
      <c r="F6" s="77" t="s">
        <v>149</v>
      </c>
      <c r="G6" s="33"/>
      <c r="H6" s="33"/>
    </row>
    <row r="7" spans="1:8" s="32" customFormat="1" ht="13.5">
      <c r="A7" s="78">
        <v>1</v>
      </c>
      <c r="B7" s="101" t="s">
        <v>116</v>
      </c>
      <c r="C7" s="21" t="s">
        <v>29</v>
      </c>
      <c r="D7" s="34">
        <v>181</v>
      </c>
      <c r="E7" s="35">
        <v>30</v>
      </c>
      <c r="F7" s="79">
        <f>D7*E7</f>
        <v>5430</v>
      </c>
      <c r="G7" s="33"/>
      <c r="H7" s="80"/>
    </row>
    <row r="8" spans="1:8" s="32" customFormat="1" ht="13.5">
      <c r="A8" s="140">
        <v>2</v>
      </c>
      <c r="B8" s="101" t="s">
        <v>117</v>
      </c>
      <c r="C8" s="21" t="s">
        <v>118</v>
      </c>
      <c r="D8" s="141">
        <v>233.33</v>
      </c>
      <c r="E8" s="35">
        <v>45</v>
      </c>
      <c r="F8" s="79">
        <f>D8*E8</f>
        <v>10499.85</v>
      </c>
      <c r="G8" s="33"/>
      <c r="H8" s="80"/>
    </row>
    <row r="9" spans="1:8" s="32" customFormat="1" ht="13.5">
      <c r="A9" s="140">
        <v>3</v>
      </c>
      <c r="B9" s="152" t="s">
        <v>523</v>
      </c>
      <c r="C9" s="219" t="s">
        <v>526</v>
      </c>
      <c r="D9" s="141">
        <v>137.32</v>
      </c>
      <c r="E9" s="220">
        <v>15</v>
      </c>
      <c r="F9" s="221">
        <f>D9*E9</f>
        <v>2059.7999999999997</v>
      </c>
      <c r="G9" s="33"/>
      <c r="H9" s="80"/>
    </row>
    <row r="10" spans="1:6" ht="14.25" thickBot="1">
      <c r="A10" s="81"/>
      <c r="B10" s="82" t="s">
        <v>131</v>
      </c>
      <c r="C10" s="83"/>
      <c r="D10" s="83"/>
      <c r="E10" s="84"/>
      <c r="F10" s="161">
        <f>SUM(F7:F9)</f>
        <v>17989.65</v>
      </c>
    </row>
    <row r="12" spans="1:6" ht="12.75">
      <c r="A12" s="1261" t="s">
        <v>59</v>
      </c>
      <c r="B12" s="1261"/>
      <c r="C12" s="42"/>
      <c r="D12" s="42"/>
      <c r="E12" s="42"/>
      <c r="F12" s="44" t="s">
        <v>60</v>
      </c>
    </row>
    <row r="13" spans="1:6" s="41" customFormat="1" ht="15.75">
      <c r="A13" s="43"/>
      <c r="B13" s="43"/>
      <c r="C13" s="43"/>
      <c r="D13" s="43"/>
      <c r="E13" s="43"/>
      <c r="F13" s="43"/>
    </row>
    <row r="21" spans="1:3" ht="12.75">
      <c r="A21" s="1277"/>
      <c r="B21" s="1277"/>
      <c r="C21" s="1277"/>
    </row>
  </sheetData>
  <sheetProtection/>
  <mergeCells count="6">
    <mergeCell ref="D1:F1"/>
    <mergeCell ref="D2:F2"/>
    <mergeCell ref="A21:C21"/>
    <mergeCell ref="C3:F3"/>
    <mergeCell ref="A4:F4"/>
    <mergeCell ref="A12:B12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  <headerFooter alignWithMargins="0">
    <oddFooter>&amp;LИсп. Колышницына Н.В. т. 60-76-82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2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6.125" style="29" customWidth="1"/>
    <col min="2" max="2" width="15.25390625" style="29" customWidth="1"/>
    <col min="3" max="3" width="9.00390625" style="29" customWidth="1"/>
    <col min="4" max="4" width="10.125" style="29" customWidth="1"/>
    <col min="5" max="5" width="11.75390625" style="29" customWidth="1"/>
    <col min="6" max="6" width="15.375" style="29" customWidth="1"/>
    <col min="7" max="7" width="12.75390625" style="29" bestFit="1" customWidth="1"/>
    <col min="8" max="9" width="12.875" style="29" customWidth="1"/>
    <col min="10" max="10" width="13.75390625" style="29" customWidth="1"/>
    <col min="11" max="11" width="12.75390625" style="29" customWidth="1"/>
    <col min="12" max="12" width="11.375" style="29" customWidth="1"/>
    <col min="13" max="16384" width="9.125" style="29" customWidth="1"/>
  </cols>
  <sheetData>
    <row r="1" spans="1:11" ht="12.75">
      <c r="A1" s="28"/>
      <c r="D1" s="45"/>
      <c r="E1" s="45"/>
      <c r="F1" s="45"/>
      <c r="G1" s="1275" t="s">
        <v>98</v>
      </c>
      <c r="H1" s="1275"/>
      <c r="I1" s="1275"/>
      <c r="J1" s="1275"/>
      <c r="K1" s="1275"/>
    </row>
    <row r="2" spans="4:20" ht="27.75" customHeight="1">
      <c r="D2" s="91"/>
      <c r="E2" s="91"/>
      <c r="F2" s="91"/>
      <c r="G2" s="1276" t="s">
        <v>496</v>
      </c>
      <c r="H2" s="1276"/>
      <c r="I2" s="1276"/>
      <c r="J2" s="1276"/>
      <c r="K2" s="1276"/>
      <c r="L2" s="46"/>
      <c r="M2" s="46"/>
      <c r="N2" s="46"/>
      <c r="O2" s="46"/>
      <c r="P2" s="46"/>
      <c r="Q2" s="46"/>
      <c r="R2" s="46"/>
      <c r="S2" s="46"/>
      <c r="T2" s="46"/>
    </row>
    <row r="3" spans="1:12" ht="29.25" customHeight="1">
      <c r="A3" s="1279" t="s">
        <v>1241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</row>
    <row r="4" spans="1:11" ht="14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ht="13.5" thickBot="1">
      <c r="G6" s="48"/>
    </row>
    <row r="7" spans="1:12" ht="79.5" customHeight="1" thickBot="1">
      <c r="A7" s="142" t="s">
        <v>38</v>
      </c>
      <c r="B7" s="143" t="s">
        <v>150</v>
      </c>
      <c r="C7" s="143" t="s">
        <v>151</v>
      </c>
      <c r="D7" s="143" t="s">
        <v>148</v>
      </c>
      <c r="E7" s="143" t="s">
        <v>152</v>
      </c>
      <c r="F7" s="114" t="s">
        <v>119</v>
      </c>
      <c r="G7" s="144" t="s">
        <v>48</v>
      </c>
      <c r="H7" s="114" t="s">
        <v>0</v>
      </c>
      <c r="I7" s="114" t="s">
        <v>50</v>
      </c>
      <c r="J7" s="114" t="s">
        <v>51</v>
      </c>
      <c r="K7" s="114" t="s">
        <v>49</v>
      </c>
      <c r="L7" s="145" t="s">
        <v>153</v>
      </c>
    </row>
    <row r="8" spans="1:12" ht="15">
      <c r="A8" s="146">
        <v>1</v>
      </c>
      <c r="B8" s="181" t="s">
        <v>116</v>
      </c>
      <c r="C8" s="147" t="s">
        <v>154</v>
      </c>
      <c r="D8" s="148">
        <v>181</v>
      </c>
      <c r="E8" s="148">
        <v>2573</v>
      </c>
      <c r="F8" s="148">
        <v>1.6</v>
      </c>
      <c r="G8" s="149">
        <v>0.95</v>
      </c>
      <c r="H8" s="148">
        <v>1.8</v>
      </c>
      <c r="I8" s="148">
        <v>1</v>
      </c>
      <c r="J8" s="148">
        <v>1</v>
      </c>
      <c r="K8" s="150">
        <v>1.6</v>
      </c>
      <c r="L8" s="151">
        <f>E8*F8*G8*H8*I8*J8*K8</f>
        <v>11263.5648</v>
      </c>
    </row>
    <row r="9" spans="1:12" ht="15">
      <c r="A9" s="228">
        <v>2</v>
      </c>
      <c r="B9" s="101" t="s">
        <v>117</v>
      </c>
      <c r="C9" s="229" t="s">
        <v>154</v>
      </c>
      <c r="D9" s="230">
        <v>233</v>
      </c>
      <c r="E9" s="230">
        <v>2573</v>
      </c>
      <c r="F9" s="230">
        <v>1.6</v>
      </c>
      <c r="G9" s="231">
        <v>0.95</v>
      </c>
      <c r="H9" s="230">
        <v>1.8</v>
      </c>
      <c r="I9" s="230">
        <v>1</v>
      </c>
      <c r="J9" s="230">
        <v>1</v>
      </c>
      <c r="K9" s="232">
        <v>1.6</v>
      </c>
      <c r="L9" s="233">
        <f>E9*F9*G9*H9*I9*J9*K9</f>
        <v>11263.5648</v>
      </c>
    </row>
    <row r="10" spans="1:12" ht="15.75" thickBot="1">
      <c r="A10" s="222">
        <v>3</v>
      </c>
      <c r="B10" s="223" t="s">
        <v>523</v>
      </c>
      <c r="C10" s="224" t="s">
        <v>154</v>
      </c>
      <c r="D10" s="225">
        <v>137</v>
      </c>
      <c r="E10" s="225">
        <v>2573</v>
      </c>
      <c r="F10" s="225">
        <v>1.6</v>
      </c>
      <c r="G10" s="226">
        <v>1</v>
      </c>
      <c r="H10" s="225">
        <v>1.8</v>
      </c>
      <c r="I10" s="225">
        <v>1</v>
      </c>
      <c r="J10" s="225">
        <v>1</v>
      </c>
      <c r="K10" s="227">
        <v>1.4</v>
      </c>
      <c r="L10" s="233">
        <f>E10*F10*G10*H10*I10*J10*K10</f>
        <v>10374.336000000001</v>
      </c>
    </row>
    <row r="11" spans="1:12" s="42" customFormat="1" ht="13.5" thickBot="1">
      <c r="A11" s="153"/>
      <c r="B11" s="154" t="s">
        <v>131</v>
      </c>
      <c r="C11" s="155"/>
      <c r="D11" s="155"/>
      <c r="E11" s="155"/>
      <c r="F11" s="155"/>
      <c r="G11" s="155"/>
      <c r="H11" s="155"/>
      <c r="I11" s="155"/>
      <c r="J11" s="155"/>
      <c r="K11" s="156"/>
      <c r="L11" s="914">
        <f>SUM(L8:L10)</f>
        <v>32901.4656</v>
      </c>
    </row>
    <row r="12" spans="1:11" ht="12.75">
      <c r="A12" s="49"/>
      <c r="B12" s="50"/>
      <c r="C12" s="51"/>
      <c r="D12" s="51"/>
      <c r="E12" s="51"/>
      <c r="F12" s="51"/>
      <c r="G12" s="51"/>
      <c r="H12" s="51"/>
      <c r="I12" s="51"/>
      <c r="J12" s="51"/>
      <c r="K12" s="52"/>
    </row>
    <row r="13" spans="1:12" s="41" customFormat="1" ht="15.75">
      <c r="A13" s="1261" t="s">
        <v>59</v>
      </c>
      <c r="B13" s="1261"/>
      <c r="C13" s="56"/>
      <c r="D13" s="56"/>
      <c r="E13" s="42"/>
      <c r="F13" s="42"/>
      <c r="G13" s="42"/>
      <c r="I13" s="93"/>
      <c r="J13" s="93"/>
      <c r="K13" s="1257" t="s">
        <v>60</v>
      </c>
      <c r="L13" s="1257"/>
    </row>
    <row r="14" spans="1:11" ht="13.5">
      <c r="A14" s="54"/>
      <c r="B14" s="55"/>
      <c r="C14" s="56"/>
      <c r="D14" s="56"/>
      <c r="E14" s="56"/>
      <c r="F14" s="56"/>
      <c r="G14" s="56"/>
      <c r="H14" s="56"/>
      <c r="I14" s="56"/>
      <c r="J14" s="56"/>
      <c r="K14" s="52"/>
    </row>
    <row r="15" s="53" customFormat="1" ht="15"/>
    <row r="22" spans="1:4" ht="12.75">
      <c r="A22" s="1258"/>
      <c r="B22" s="1258"/>
      <c r="C22" s="1258"/>
      <c r="D22" s="1258"/>
    </row>
    <row r="23" s="53" customFormat="1" ht="15"/>
  </sheetData>
  <sheetProtection/>
  <mergeCells count="6">
    <mergeCell ref="G1:K1"/>
    <mergeCell ref="G2:K2"/>
    <mergeCell ref="A13:B13"/>
    <mergeCell ref="A22:D22"/>
    <mergeCell ref="K13:L13"/>
    <mergeCell ref="A3:L3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95" r:id="rId1"/>
  <headerFooter alignWithMargins="0">
    <oddFooter>&amp;LИсп. Колышницына Н.В. т. 60-76-82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1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.375" style="29" customWidth="1"/>
    <col min="2" max="2" width="30.75390625" style="29" customWidth="1"/>
    <col min="3" max="3" width="30.25390625" style="29" customWidth="1"/>
    <col min="4" max="4" width="28.875" style="29" customWidth="1"/>
    <col min="5" max="5" width="14.625" style="29" customWidth="1"/>
    <col min="6" max="16384" width="9.125" style="29" customWidth="1"/>
  </cols>
  <sheetData>
    <row r="1" spans="2:5" ht="12.75">
      <c r="B1" s="28"/>
      <c r="C1" s="1275"/>
      <c r="D1" s="1275"/>
      <c r="E1" s="1275"/>
    </row>
    <row r="2" spans="2:5" ht="12.75">
      <c r="B2" s="28"/>
      <c r="C2" s="1276"/>
      <c r="D2" s="1276"/>
      <c r="E2" s="1276"/>
    </row>
    <row r="3" spans="3:7" ht="12.75">
      <c r="C3" s="1263"/>
      <c r="D3" s="1263"/>
      <c r="E3" s="1263"/>
      <c r="F3" s="20"/>
      <c r="G3" s="20"/>
    </row>
    <row r="4" spans="1:5" ht="12.75">
      <c r="A4" s="1260" t="s">
        <v>1242</v>
      </c>
      <c r="B4" s="1260"/>
      <c r="C4" s="1260"/>
      <c r="D4" s="1260"/>
      <c r="E4" s="1260"/>
    </row>
    <row r="5" ht="13.5" thickBot="1"/>
    <row r="6" spans="1:7" ht="25.5">
      <c r="A6" s="193" t="s">
        <v>38</v>
      </c>
      <c r="B6" s="202" t="s">
        <v>31</v>
      </c>
      <c r="C6" s="202" t="s">
        <v>159</v>
      </c>
      <c r="D6" s="202" t="s">
        <v>32</v>
      </c>
      <c r="E6" s="203" t="s">
        <v>2</v>
      </c>
      <c r="F6" s="60"/>
      <c r="G6" s="60"/>
    </row>
    <row r="7" spans="1:5" ht="39" thickBot="1">
      <c r="A7" s="162">
        <v>1</v>
      </c>
      <c r="B7" s="194" t="s">
        <v>3</v>
      </c>
      <c r="C7" s="97" t="s">
        <v>4</v>
      </c>
      <c r="D7" s="70" t="s">
        <v>223</v>
      </c>
      <c r="E7" s="204">
        <f>5551834.08*0.015</f>
        <v>83277.5112</v>
      </c>
    </row>
    <row r="8" spans="1:5" ht="13.5" thickBot="1">
      <c r="A8" s="96"/>
      <c r="B8" s="67" t="s">
        <v>131</v>
      </c>
      <c r="C8" s="67"/>
      <c r="D8" s="68"/>
      <c r="E8" s="205">
        <f>SUM(E7:E7)</f>
        <v>83277.5112</v>
      </c>
    </row>
    <row r="9" spans="2:4" ht="12.75">
      <c r="B9" s="60"/>
      <c r="C9" s="60"/>
      <c r="D9" s="69"/>
    </row>
    <row r="10" spans="2:4" ht="12.75">
      <c r="B10" s="60"/>
      <c r="C10" s="60"/>
      <c r="D10" s="69"/>
    </row>
    <row r="11" spans="1:5" ht="12.75">
      <c r="A11" s="1281" t="s">
        <v>59</v>
      </c>
      <c r="B11" s="1281"/>
      <c r="C11" s="71"/>
      <c r="D11" s="1257" t="s">
        <v>60</v>
      </c>
      <c r="E11" s="1257"/>
    </row>
    <row r="12" spans="1:5" ht="12.75">
      <c r="A12" s="42"/>
      <c r="B12" s="71"/>
      <c r="C12" s="71"/>
      <c r="D12" s="42"/>
      <c r="E12" s="71"/>
    </row>
    <row r="13" spans="2:4" ht="12.75">
      <c r="B13" s="60"/>
      <c r="C13" s="60"/>
      <c r="D13" s="60"/>
    </row>
    <row r="14" spans="2:4" ht="12.75">
      <c r="B14" s="60"/>
      <c r="C14" s="60"/>
      <c r="D14" s="60"/>
    </row>
    <row r="15" spans="2:4" ht="12.75">
      <c r="B15" s="1280"/>
      <c r="C15" s="1280"/>
      <c r="D15" s="60"/>
    </row>
    <row r="16" ht="12.75">
      <c r="D16" s="60"/>
    </row>
    <row r="17" spans="2:4" ht="12.75">
      <c r="B17" s="60"/>
      <c r="C17" s="60"/>
      <c r="D17" s="60"/>
    </row>
    <row r="18" spans="2:4" ht="12.75">
      <c r="B18" s="60"/>
      <c r="C18" s="60"/>
      <c r="D18" s="60"/>
    </row>
    <row r="19" spans="2:4" ht="12.75">
      <c r="B19" s="60"/>
      <c r="C19" s="60"/>
      <c r="D19" s="60"/>
    </row>
    <row r="20" spans="2:4" ht="12.75">
      <c r="B20" s="60"/>
      <c r="C20" s="60"/>
      <c r="D20" s="60"/>
    </row>
    <row r="21" spans="2:4" ht="12.75">
      <c r="B21" s="60"/>
      <c r="C21" s="60"/>
      <c r="D21" s="60"/>
    </row>
  </sheetData>
  <sheetProtection/>
  <mergeCells count="7">
    <mergeCell ref="B15:C15"/>
    <mergeCell ref="A11:B11"/>
    <mergeCell ref="D11:E11"/>
    <mergeCell ref="C1:E1"/>
    <mergeCell ref="C2:E2"/>
    <mergeCell ref="C3:E3"/>
    <mergeCell ref="A4:E4"/>
  </mergeCells>
  <printOptions/>
  <pageMargins left="0.7874015748031497" right="0.3937007874015748" top="0.1968503937007874" bottom="0.3937007874015748" header="0.5118110236220472" footer="0.11811023622047245"/>
  <pageSetup fitToHeight="2" fitToWidth="1" horizontalDpi="600" verticalDpi="600" orientation="portrait" paperSize="9" scale="83" r:id="rId1"/>
  <headerFooter alignWithMargins="0">
    <oddFooter>&amp;LИсп. Колышницына Н.В. т. 60-76-82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3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2.75"/>
  <cols>
    <col min="1" max="1" width="4.75390625" style="928" customWidth="1"/>
    <col min="2" max="2" width="0.6171875" style="928" hidden="1" customWidth="1"/>
    <col min="3" max="3" width="35.375" style="928" customWidth="1"/>
    <col min="4" max="4" width="10.375" style="928" customWidth="1"/>
    <col min="5" max="5" width="11.875" style="928" customWidth="1"/>
    <col min="6" max="6" width="7.125" style="928" customWidth="1"/>
    <col min="7" max="7" width="11.625" style="928" customWidth="1"/>
    <col min="8" max="8" width="10.25390625" style="928" customWidth="1"/>
    <col min="9" max="9" width="10.375" style="928" customWidth="1"/>
    <col min="10" max="10" width="10.125" style="928" customWidth="1"/>
    <col min="11" max="11" width="6.125" style="928" customWidth="1"/>
    <col min="12" max="12" width="9.75390625" style="928" customWidth="1"/>
    <col min="13" max="13" width="9.875" style="928" customWidth="1"/>
    <col min="14" max="14" width="14.875" style="928" customWidth="1"/>
    <col min="15" max="15" width="10.375" style="928" customWidth="1"/>
    <col min="16" max="16" width="7.25390625" style="928" customWidth="1"/>
    <col min="17" max="17" width="6.25390625" style="928" customWidth="1"/>
    <col min="18" max="18" width="8.875" style="928" customWidth="1"/>
    <col min="19" max="19" width="7.625" style="928" customWidth="1"/>
    <col min="20" max="16384" width="9.125" style="928" customWidth="1"/>
  </cols>
  <sheetData>
    <row r="1" ht="15">
      <c r="S1" s="929" t="s">
        <v>1260</v>
      </c>
    </row>
    <row r="3" spans="1:19" ht="16.5">
      <c r="A3" s="1075" t="s">
        <v>1261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</row>
    <row r="4" spans="1:19" ht="16.5">
      <c r="A4" s="1075" t="s">
        <v>1262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</row>
    <row r="5" ht="15.75" thickBot="1"/>
    <row r="6" spans="1:19" ht="30" customHeight="1">
      <c r="A6" s="1076" t="s">
        <v>550</v>
      </c>
      <c r="B6" s="1078" t="s">
        <v>588</v>
      </c>
      <c r="C6" s="1079"/>
      <c r="D6" s="1067" t="s">
        <v>1263</v>
      </c>
      <c r="E6" s="1068"/>
      <c r="F6" s="1068"/>
      <c r="G6" s="1068"/>
      <c r="H6" s="1069"/>
      <c r="I6" s="1067" t="s">
        <v>1264</v>
      </c>
      <c r="J6" s="1068"/>
      <c r="K6" s="1068"/>
      <c r="L6" s="1068"/>
      <c r="M6" s="1069"/>
      <c r="N6" s="1082" t="s">
        <v>1265</v>
      </c>
      <c r="O6" s="1067" t="s">
        <v>1266</v>
      </c>
      <c r="P6" s="1068"/>
      <c r="Q6" s="1068"/>
      <c r="R6" s="1068"/>
      <c r="S6" s="1069"/>
    </row>
    <row r="7" spans="1:19" ht="15">
      <c r="A7" s="1077"/>
      <c r="B7" s="1080"/>
      <c r="C7" s="1081"/>
      <c r="D7" s="930" t="s">
        <v>551</v>
      </c>
      <c r="E7" s="63" t="s">
        <v>97</v>
      </c>
      <c r="F7" s="63" t="s">
        <v>512</v>
      </c>
      <c r="G7" s="63" t="s">
        <v>513</v>
      </c>
      <c r="H7" s="931" t="s">
        <v>39</v>
      </c>
      <c r="I7" s="930" t="s">
        <v>551</v>
      </c>
      <c r="J7" s="63" t="s">
        <v>97</v>
      </c>
      <c r="K7" s="63" t="s">
        <v>512</v>
      </c>
      <c r="L7" s="63" t="s">
        <v>513</v>
      </c>
      <c r="M7" s="931" t="s">
        <v>39</v>
      </c>
      <c r="N7" s="1083"/>
      <c r="O7" s="930" t="s">
        <v>551</v>
      </c>
      <c r="P7" s="63" t="s">
        <v>97</v>
      </c>
      <c r="Q7" s="63" t="s">
        <v>512</v>
      </c>
      <c r="R7" s="63" t="s">
        <v>513</v>
      </c>
      <c r="S7" s="931" t="s">
        <v>39</v>
      </c>
    </row>
    <row r="8" spans="1:19" ht="15.75" thickBot="1">
      <c r="A8" s="932">
        <v>1</v>
      </c>
      <c r="B8" s="1070">
        <v>2</v>
      </c>
      <c r="C8" s="1071"/>
      <c r="D8" s="933">
        <v>3</v>
      </c>
      <c r="E8" s="934">
        <v>4</v>
      </c>
      <c r="F8" s="934">
        <v>5</v>
      </c>
      <c r="G8" s="934">
        <v>6</v>
      </c>
      <c r="H8" s="935">
        <v>7</v>
      </c>
      <c r="I8" s="933">
        <v>8</v>
      </c>
      <c r="J8" s="934">
        <v>9</v>
      </c>
      <c r="K8" s="934">
        <v>10</v>
      </c>
      <c r="L8" s="934">
        <v>11</v>
      </c>
      <c r="M8" s="935">
        <v>12</v>
      </c>
      <c r="N8" s="936">
        <v>13</v>
      </c>
      <c r="O8" s="933">
        <v>14</v>
      </c>
      <c r="P8" s="934">
        <v>15</v>
      </c>
      <c r="Q8" s="934">
        <v>16</v>
      </c>
      <c r="R8" s="934">
        <v>17</v>
      </c>
      <c r="S8" s="935">
        <v>18</v>
      </c>
    </row>
    <row r="9" spans="1:19" ht="15.75" thickBot="1">
      <c r="A9" s="1072" t="s">
        <v>1267</v>
      </c>
      <c r="B9" s="1073"/>
      <c r="C9" s="1073"/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3"/>
      <c r="P9" s="1073"/>
      <c r="Q9" s="1073"/>
      <c r="R9" s="1073"/>
      <c r="S9" s="1074"/>
    </row>
    <row r="10" spans="1:19" ht="15">
      <c r="A10" s="937">
        <v>1</v>
      </c>
      <c r="B10" s="938"/>
      <c r="C10" s="939" t="s">
        <v>1268</v>
      </c>
      <c r="D10" s="940"/>
      <c r="E10" s="941"/>
      <c r="F10" s="941"/>
      <c r="G10" s="941"/>
      <c r="H10" s="942"/>
      <c r="I10" s="940"/>
      <c r="J10" s="941"/>
      <c r="K10" s="941"/>
      <c r="L10" s="941"/>
      <c r="M10" s="942"/>
      <c r="N10" s="943"/>
      <c r="O10" s="940"/>
      <c r="P10" s="941"/>
      <c r="Q10" s="941"/>
      <c r="R10" s="941"/>
      <c r="S10" s="942"/>
    </row>
    <row r="11" spans="1:19" ht="26.25">
      <c r="A11" s="944" t="s">
        <v>553</v>
      </c>
      <c r="B11" s="945"/>
      <c r="C11" s="946" t="s">
        <v>1269</v>
      </c>
      <c r="D11" s="947">
        <f aca="true" t="shared" si="0" ref="D11:D24">E11+F11+G11+H11</f>
        <v>120.067103</v>
      </c>
      <c r="E11" s="948">
        <v>119.590298</v>
      </c>
      <c r="F11" s="948"/>
      <c r="G11" s="948"/>
      <c r="H11" s="949">
        <v>0.476805</v>
      </c>
      <c r="I11" s="947">
        <f aca="true" t="shared" si="1" ref="I11:I17">J11+K11+L11+M11</f>
        <v>14.919</v>
      </c>
      <c r="J11" s="948">
        <v>14.864</v>
      </c>
      <c r="K11" s="948"/>
      <c r="L11" s="948"/>
      <c r="M11" s="949">
        <v>0.055</v>
      </c>
      <c r="N11" s="950">
        <f aca="true" t="shared" si="2" ref="N11:N17">D11/I11*1000</f>
        <v>8047.932368121188</v>
      </c>
      <c r="O11" s="951">
        <f aca="true" t="shared" si="3" ref="O11:O17">P11+Q11+R11+S11</f>
        <v>1</v>
      </c>
      <c r="P11" s="952">
        <f>E11/$D$11</f>
        <v>0.9960288456364271</v>
      </c>
      <c r="Q11" s="952"/>
      <c r="R11" s="952"/>
      <c r="S11" s="953">
        <f>H11/$D$11</f>
        <v>0.003971154363572843</v>
      </c>
    </row>
    <row r="12" spans="1:19" ht="15">
      <c r="A12" s="944" t="s">
        <v>556</v>
      </c>
      <c r="B12" s="945"/>
      <c r="C12" s="946" t="s">
        <v>1270</v>
      </c>
      <c r="D12" s="947">
        <f t="shared" si="0"/>
        <v>48.092422</v>
      </c>
      <c r="E12" s="948"/>
      <c r="F12" s="948"/>
      <c r="G12" s="948">
        <v>48.092422</v>
      </c>
      <c r="H12" s="949"/>
      <c r="I12" s="947">
        <f t="shared" si="1"/>
        <v>6.4</v>
      </c>
      <c r="J12" s="948"/>
      <c r="K12" s="948"/>
      <c r="L12" s="948">
        <v>6.4</v>
      </c>
      <c r="M12" s="949"/>
      <c r="N12" s="950">
        <f t="shared" si="2"/>
        <v>7514.4409375</v>
      </c>
      <c r="O12" s="951">
        <f t="shared" si="3"/>
        <v>1</v>
      </c>
      <c r="P12" s="952"/>
      <c r="Q12" s="952"/>
      <c r="R12" s="952">
        <f>G12/$D$12</f>
        <v>1</v>
      </c>
      <c r="S12" s="953"/>
    </row>
    <row r="13" spans="1:19" ht="15">
      <c r="A13" s="944" t="s">
        <v>558</v>
      </c>
      <c r="B13" s="945"/>
      <c r="C13" s="946" t="s">
        <v>1271</v>
      </c>
      <c r="D13" s="947">
        <f t="shared" si="0"/>
        <v>16.625902</v>
      </c>
      <c r="E13" s="948">
        <v>16.625902</v>
      </c>
      <c r="F13" s="948"/>
      <c r="G13" s="948"/>
      <c r="H13" s="949"/>
      <c r="I13" s="947">
        <f t="shared" si="1"/>
        <v>2.424</v>
      </c>
      <c r="J13" s="948">
        <v>2.424</v>
      </c>
      <c r="K13" s="948"/>
      <c r="L13" s="948"/>
      <c r="M13" s="949"/>
      <c r="N13" s="950">
        <f t="shared" si="2"/>
        <v>6858.870462046204</v>
      </c>
      <c r="O13" s="951">
        <f t="shared" si="3"/>
        <v>1</v>
      </c>
      <c r="P13" s="952">
        <f>E13/$D$13</f>
        <v>1</v>
      </c>
      <c r="Q13" s="952"/>
      <c r="R13" s="952"/>
      <c r="S13" s="953"/>
    </row>
    <row r="14" spans="1:19" ht="26.25">
      <c r="A14" s="944" t="s">
        <v>559</v>
      </c>
      <c r="B14" s="945"/>
      <c r="C14" s="946" t="s">
        <v>1272</v>
      </c>
      <c r="D14" s="947">
        <f t="shared" si="0"/>
        <v>31.985467999999997</v>
      </c>
      <c r="E14" s="948">
        <v>24.607633</v>
      </c>
      <c r="F14" s="948"/>
      <c r="G14" s="948">
        <v>5.572916</v>
      </c>
      <c r="H14" s="949">
        <v>1.804919</v>
      </c>
      <c r="I14" s="947">
        <f t="shared" si="1"/>
        <v>7.742000000000001</v>
      </c>
      <c r="J14" s="948">
        <v>5.123</v>
      </c>
      <c r="K14" s="948"/>
      <c r="L14" s="948">
        <v>2.254</v>
      </c>
      <c r="M14" s="949">
        <v>0.365</v>
      </c>
      <c r="N14" s="950">
        <f t="shared" si="2"/>
        <v>4131.421854817876</v>
      </c>
      <c r="O14" s="951">
        <f t="shared" si="3"/>
        <v>1</v>
      </c>
      <c r="P14" s="952">
        <f>E14/$D$14</f>
        <v>0.7693379068269378</v>
      </c>
      <c r="Q14" s="952"/>
      <c r="R14" s="952">
        <f>G14/$D$14</f>
        <v>0.17423274844688846</v>
      </c>
      <c r="S14" s="953">
        <f>H14/$D$14</f>
        <v>0.05642934472617377</v>
      </c>
    </row>
    <row r="15" spans="1:19" ht="15">
      <c r="A15" s="944" t="s">
        <v>1273</v>
      </c>
      <c r="B15" s="945"/>
      <c r="C15" s="946" t="s">
        <v>593</v>
      </c>
      <c r="D15" s="947">
        <f>E15+F15+G15+H15</f>
        <v>2.206756</v>
      </c>
      <c r="E15" s="948"/>
      <c r="F15" s="948"/>
      <c r="G15" s="948">
        <v>1.744059</v>
      </c>
      <c r="H15" s="949">
        <v>0.462697</v>
      </c>
      <c r="I15" s="947">
        <f>J15+K15+L15+M15</f>
        <v>0.21600000000000003</v>
      </c>
      <c r="J15" s="948"/>
      <c r="K15" s="948"/>
      <c r="L15" s="948">
        <v>0.168</v>
      </c>
      <c r="M15" s="949">
        <v>0.048</v>
      </c>
      <c r="N15" s="950">
        <f t="shared" si="2"/>
        <v>10216.462962962962</v>
      </c>
      <c r="O15" s="951">
        <f t="shared" si="3"/>
        <v>0</v>
      </c>
      <c r="P15" s="952">
        <f>E15/D15</f>
        <v>0</v>
      </c>
      <c r="Q15" s="952"/>
      <c r="R15" s="952"/>
      <c r="S15" s="953"/>
    </row>
    <row r="16" spans="1:19" ht="15">
      <c r="A16" s="944" t="s">
        <v>1274</v>
      </c>
      <c r="B16" s="945"/>
      <c r="C16" s="946" t="s">
        <v>1275</v>
      </c>
      <c r="D16" s="947">
        <f t="shared" si="0"/>
        <v>0.032283</v>
      </c>
      <c r="E16" s="948">
        <v>0.032283</v>
      </c>
      <c r="F16" s="948"/>
      <c r="G16" s="948"/>
      <c r="H16" s="949"/>
      <c r="I16" s="947">
        <f t="shared" si="1"/>
        <v>0.051</v>
      </c>
      <c r="J16" s="948">
        <v>0.051</v>
      </c>
      <c r="K16" s="948"/>
      <c r="L16" s="948"/>
      <c r="M16" s="949"/>
      <c r="N16" s="950">
        <f t="shared" si="2"/>
        <v>633</v>
      </c>
      <c r="O16" s="951">
        <f t="shared" si="3"/>
        <v>0</v>
      </c>
      <c r="P16" s="952"/>
      <c r="Q16" s="952"/>
      <c r="R16" s="952"/>
      <c r="S16" s="953">
        <f>H16/$D$16</f>
        <v>0</v>
      </c>
    </row>
    <row r="17" spans="1:19" ht="26.25">
      <c r="A17" s="954" t="s">
        <v>1276</v>
      </c>
      <c r="B17" s="945"/>
      <c r="C17" s="955" t="s">
        <v>1277</v>
      </c>
      <c r="D17" s="947">
        <f t="shared" si="0"/>
        <v>5.124574000000001</v>
      </c>
      <c r="E17" s="956">
        <v>4.584556</v>
      </c>
      <c r="F17" s="956"/>
      <c r="G17" s="956">
        <v>0.494722</v>
      </c>
      <c r="H17" s="957">
        <v>0.045296</v>
      </c>
      <c r="I17" s="947">
        <f t="shared" si="1"/>
        <v>1.1859999999999997</v>
      </c>
      <c r="J17" s="956">
        <v>1.055</v>
      </c>
      <c r="K17" s="956"/>
      <c r="L17" s="956">
        <v>0.12</v>
      </c>
      <c r="M17" s="957">
        <v>0.011</v>
      </c>
      <c r="N17" s="950">
        <f t="shared" si="2"/>
        <v>4320.888701517708</v>
      </c>
      <c r="O17" s="951">
        <f t="shared" si="3"/>
        <v>0.9999999999999999</v>
      </c>
      <c r="P17" s="952">
        <f>E17/$D$17</f>
        <v>0.8946218749109681</v>
      </c>
      <c r="Q17" s="952"/>
      <c r="R17" s="952">
        <f>G17/$D$17</f>
        <v>0.09653914647344343</v>
      </c>
      <c r="S17" s="953">
        <f>H17/$D$17</f>
        <v>0.008838978615588338</v>
      </c>
    </row>
    <row r="18" spans="1:19" ht="26.25">
      <c r="A18" s="958" t="s">
        <v>1278</v>
      </c>
      <c r="B18" s="959"/>
      <c r="C18" s="955" t="s">
        <v>1279</v>
      </c>
      <c r="D18" s="947">
        <f t="shared" si="0"/>
        <v>152.154252</v>
      </c>
      <c r="E18" s="956">
        <f>E19+E21+E20+E22</f>
        <v>139.779557</v>
      </c>
      <c r="F18" s="956"/>
      <c r="G18" s="956">
        <f>G19+G21+G20+G22</f>
        <v>12.374695</v>
      </c>
      <c r="H18" s="956">
        <f>H19+H21+H20+H22</f>
        <v>0</v>
      </c>
      <c r="I18" s="947">
        <f>I19+I21+I20+I22</f>
        <v>20.580999999999996</v>
      </c>
      <c r="J18" s="956">
        <f>J19+J21+J20+J22</f>
        <v>18.753</v>
      </c>
      <c r="K18" s="956"/>
      <c r="L18" s="956">
        <f>L19+L21+L20+L22</f>
        <v>1.828</v>
      </c>
      <c r="M18" s="957">
        <f>M19+M21+M20+M22</f>
        <v>0</v>
      </c>
      <c r="N18" s="950"/>
      <c r="O18" s="951"/>
      <c r="P18" s="952"/>
      <c r="Q18" s="952"/>
      <c r="R18" s="952"/>
      <c r="S18" s="953"/>
    </row>
    <row r="19" spans="1:19" ht="15">
      <c r="A19" s="960" t="s">
        <v>1280</v>
      </c>
      <c r="B19" s="945"/>
      <c r="C19" s="946" t="s">
        <v>1281</v>
      </c>
      <c r="D19" s="961">
        <f t="shared" si="0"/>
        <v>36.120187</v>
      </c>
      <c r="E19" s="948">
        <v>34.774563</v>
      </c>
      <c r="F19" s="948"/>
      <c r="G19" s="948">
        <v>1.345624</v>
      </c>
      <c r="H19" s="949"/>
      <c r="I19" s="961">
        <f>J19+K19+L19+M19</f>
        <v>4.112</v>
      </c>
      <c r="J19" s="948">
        <v>3.95</v>
      </c>
      <c r="K19" s="948"/>
      <c r="L19" s="948">
        <v>0.162</v>
      </c>
      <c r="M19" s="949"/>
      <c r="N19" s="950">
        <f>D19/I19*1000</f>
        <v>8784.0921692607</v>
      </c>
      <c r="O19" s="951">
        <f>P19+Q19+R19+S19</f>
        <v>0.9999999999999999</v>
      </c>
      <c r="P19" s="952">
        <f>E19/$D$19</f>
        <v>0.9627459293054047</v>
      </c>
      <c r="Q19" s="952"/>
      <c r="R19" s="952">
        <f>G19/$D$19</f>
        <v>0.037254070694595236</v>
      </c>
      <c r="S19" s="953"/>
    </row>
    <row r="20" spans="1:19" ht="15">
      <c r="A20" s="960" t="s">
        <v>1282</v>
      </c>
      <c r="B20" s="945"/>
      <c r="C20" s="946" t="s">
        <v>1283</v>
      </c>
      <c r="D20" s="961">
        <f t="shared" si="0"/>
        <v>6.310779</v>
      </c>
      <c r="E20" s="948"/>
      <c r="F20" s="948"/>
      <c r="G20" s="948">
        <v>6.310779</v>
      </c>
      <c r="H20" s="949"/>
      <c r="I20" s="961">
        <f>J20+K20+L20+M20</f>
        <v>0.862</v>
      </c>
      <c r="J20" s="948"/>
      <c r="K20" s="948"/>
      <c r="L20" s="948">
        <v>0.862</v>
      </c>
      <c r="M20" s="949"/>
      <c r="N20" s="950"/>
      <c r="O20" s="951"/>
      <c r="P20" s="952"/>
      <c r="Q20" s="952"/>
      <c r="R20" s="952"/>
      <c r="S20" s="953"/>
    </row>
    <row r="21" spans="1:19" ht="15">
      <c r="A21" s="960" t="s">
        <v>1284</v>
      </c>
      <c r="B21" s="945"/>
      <c r="C21" s="946" t="s">
        <v>1285</v>
      </c>
      <c r="D21" s="961">
        <f t="shared" si="0"/>
        <v>102.67942000000001</v>
      </c>
      <c r="E21" s="948">
        <v>97.961128</v>
      </c>
      <c r="F21" s="948"/>
      <c r="G21" s="948">
        <v>4.718292</v>
      </c>
      <c r="H21" s="949"/>
      <c r="I21" s="961">
        <f>J21+K21+L21+M21</f>
        <v>14.364</v>
      </c>
      <c r="J21" s="948">
        <v>13.56</v>
      </c>
      <c r="K21" s="948"/>
      <c r="L21" s="948">
        <v>0.804</v>
      </c>
      <c r="M21" s="949"/>
      <c r="N21" s="950">
        <f>D21/I21*1000</f>
        <v>7148.386243386244</v>
      </c>
      <c r="O21" s="951">
        <f>P21+Q21+R21+S21</f>
        <v>1</v>
      </c>
      <c r="P21" s="952">
        <f>E21/$D$21</f>
        <v>0.9540483185432874</v>
      </c>
      <c r="Q21" s="952"/>
      <c r="R21" s="952">
        <f>G21/$D$21</f>
        <v>0.04595168145671255</v>
      </c>
      <c r="S21" s="953">
        <f>H21/$D$21</f>
        <v>0</v>
      </c>
    </row>
    <row r="22" spans="1:19" ht="15">
      <c r="A22" s="960" t="s">
        <v>1286</v>
      </c>
      <c r="B22" s="962"/>
      <c r="C22" s="963" t="s">
        <v>1287</v>
      </c>
      <c r="D22" s="961">
        <f t="shared" si="0"/>
        <v>7.043866</v>
      </c>
      <c r="E22" s="964">
        <v>7.043866</v>
      </c>
      <c r="F22" s="964"/>
      <c r="G22" s="964"/>
      <c r="H22" s="965"/>
      <c r="I22" s="961">
        <f>J22+K22+L22+M22</f>
        <v>1.243</v>
      </c>
      <c r="J22" s="964">
        <v>1.243</v>
      </c>
      <c r="K22" s="964"/>
      <c r="L22" s="964"/>
      <c r="M22" s="965"/>
      <c r="N22" s="966"/>
      <c r="O22" s="967"/>
      <c r="P22" s="968"/>
      <c r="Q22" s="968"/>
      <c r="R22" s="968"/>
      <c r="S22" s="969"/>
    </row>
    <row r="23" spans="1:19" ht="15.75" thickBot="1">
      <c r="A23" s="970" t="s">
        <v>561</v>
      </c>
      <c r="B23" s="962"/>
      <c r="C23" s="971" t="s">
        <v>1288</v>
      </c>
      <c r="D23" s="972"/>
      <c r="E23" s="964"/>
      <c r="F23" s="964"/>
      <c r="G23" s="964"/>
      <c r="H23" s="973">
        <v>0.161316</v>
      </c>
      <c r="I23" s="972"/>
      <c r="J23" s="964"/>
      <c r="K23" s="964"/>
      <c r="L23" s="964"/>
      <c r="M23" s="973">
        <v>0.053</v>
      </c>
      <c r="N23" s="950"/>
      <c r="O23" s="951"/>
      <c r="P23" s="952"/>
      <c r="Q23" s="952"/>
      <c r="R23" s="952"/>
      <c r="S23" s="953"/>
    </row>
    <row r="24" spans="1:19" ht="15.75" thickBot="1">
      <c r="A24" s="974"/>
      <c r="B24" s="975"/>
      <c r="C24" s="976" t="s">
        <v>131</v>
      </c>
      <c r="D24" s="977">
        <f t="shared" si="0"/>
        <v>376.450076</v>
      </c>
      <c r="E24" s="978">
        <f>SUM(E11:E18)</f>
        <v>305.220229</v>
      </c>
      <c r="F24" s="978"/>
      <c r="G24" s="978">
        <f>SUM(G11:G18)</f>
        <v>68.278814</v>
      </c>
      <c r="H24" s="979">
        <f>SUM(H11:H16,H17,H18,H23)</f>
        <v>2.951033</v>
      </c>
      <c r="I24" s="977">
        <f>J24+K24+L24+M24</f>
        <v>53.57199999999999</v>
      </c>
      <c r="J24" s="978">
        <f>SUM(J11:J18)</f>
        <v>42.269999999999996</v>
      </c>
      <c r="K24" s="978"/>
      <c r="L24" s="978">
        <f>SUM(L11:L18)</f>
        <v>10.769999999999998</v>
      </c>
      <c r="M24" s="979">
        <f>SUM(M11:M16,M17,M18,M23)</f>
        <v>0.532</v>
      </c>
      <c r="N24" s="980"/>
      <c r="O24" s="981"/>
      <c r="P24" s="982"/>
      <c r="Q24" s="982"/>
      <c r="R24" s="982"/>
      <c r="S24" s="983"/>
    </row>
    <row r="25" spans="1:19" ht="15.75" thickBot="1">
      <c r="A25" s="1072" t="s">
        <v>1289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4"/>
    </row>
    <row r="26" spans="1:19" ht="15">
      <c r="A26" s="937">
        <v>1</v>
      </c>
      <c r="B26" s="984"/>
      <c r="C26" s="939" t="s">
        <v>1268</v>
      </c>
      <c r="D26" s="985"/>
      <c r="E26" s="986"/>
      <c r="F26" s="986"/>
      <c r="G26" s="986"/>
      <c r="H26" s="987"/>
      <c r="I26" s="985"/>
      <c r="J26" s="986"/>
      <c r="K26" s="986"/>
      <c r="L26" s="986"/>
      <c r="M26" s="988"/>
      <c r="N26" s="989"/>
      <c r="O26" s="986"/>
      <c r="P26" s="986"/>
      <c r="Q26" s="986"/>
      <c r="R26" s="986"/>
      <c r="S26" s="988"/>
    </row>
    <row r="27" spans="1:19" ht="26.25">
      <c r="A27" s="944" t="s">
        <v>553</v>
      </c>
      <c r="B27" s="945"/>
      <c r="C27" s="946" t="s">
        <v>1269</v>
      </c>
      <c r="D27" s="947">
        <f aca="true" t="shared" si="4" ref="D27:D38">E27+F27+G27+H27</f>
        <v>113.923992</v>
      </c>
      <c r="E27" s="948">
        <v>113.388992</v>
      </c>
      <c r="F27" s="948"/>
      <c r="G27" s="948"/>
      <c r="H27" s="949">
        <v>0.535</v>
      </c>
      <c r="I27" s="947">
        <f aca="true" t="shared" si="5" ref="I27:I33">J27+K27+L27+M27</f>
        <v>14.152</v>
      </c>
      <c r="J27" s="948">
        <v>14.096</v>
      </c>
      <c r="K27" s="948"/>
      <c r="L27" s="948"/>
      <c r="M27" s="949">
        <v>0.056</v>
      </c>
      <c r="N27" s="990">
        <f>D27/I27*1000</f>
        <v>8050.0276992651225</v>
      </c>
      <c r="O27" s="991">
        <f>P27+Q27+R27+S27</f>
        <v>1</v>
      </c>
      <c r="P27" s="952">
        <f>E27/$D$27</f>
        <v>0.9953038864719558</v>
      </c>
      <c r="Q27" s="952">
        <f>F27/$D$27</f>
        <v>0</v>
      </c>
      <c r="R27" s="952">
        <f>G27/$D$27</f>
        <v>0</v>
      </c>
      <c r="S27" s="953">
        <f>H27/$D$27</f>
        <v>0.004696113528044207</v>
      </c>
    </row>
    <row r="28" spans="1:19" ht="15">
      <c r="A28" s="944" t="s">
        <v>556</v>
      </c>
      <c r="B28" s="945"/>
      <c r="C28" s="946" t="s">
        <v>1270</v>
      </c>
      <c r="D28" s="947">
        <f t="shared" si="4"/>
        <v>48.092422</v>
      </c>
      <c r="E28" s="948"/>
      <c r="F28" s="948"/>
      <c r="G28" s="948">
        <v>48.092422</v>
      </c>
      <c r="H28" s="949"/>
      <c r="I28" s="947">
        <f t="shared" si="5"/>
        <v>6.4</v>
      </c>
      <c r="J28" s="948"/>
      <c r="K28" s="948"/>
      <c r="L28" s="948">
        <v>6.4</v>
      </c>
      <c r="M28" s="949"/>
      <c r="N28" s="990">
        <f>D28/I28*1000</f>
        <v>7514.4409375</v>
      </c>
      <c r="O28" s="991">
        <f>P28+Q28+R28+S28</f>
        <v>1</v>
      </c>
      <c r="P28" s="952">
        <f>E28/$D$28</f>
        <v>0</v>
      </c>
      <c r="Q28" s="952">
        <f>F28/$D$28</f>
        <v>0</v>
      </c>
      <c r="R28" s="952">
        <f>G28/$D$28</f>
        <v>1</v>
      </c>
      <c r="S28" s="953">
        <f>H28/$D$28</f>
        <v>0</v>
      </c>
    </row>
    <row r="29" spans="1:19" ht="15">
      <c r="A29" s="944" t="s">
        <v>558</v>
      </c>
      <c r="B29" s="945"/>
      <c r="C29" s="946" t="s">
        <v>1271</v>
      </c>
      <c r="D29" s="947">
        <f t="shared" si="4"/>
        <v>16.625902</v>
      </c>
      <c r="E29" s="948">
        <v>16.625902</v>
      </c>
      <c r="F29" s="948"/>
      <c r="G29" s="948"/>
      <c r="H29" s="949"/>
      <c r="I29" s="947">
        <f t="shared" si="5"/>
        <v>2.424</v>
      </c>
      <c r="J29" s="948">
        <v>2.424</v>
      </c>
      <c r="K29" s="948"/>
      <c r="L29" s="948"/>
      <c r="M29" s="949"/>
      <c r="N29" s="990">
        <f>D29/J29*1000</f>
        <v>6858.870462046204</v>
      </c>
      <c r="O29" s="991">
        <f>P29+Q29+R29+S29</f>
        <v>1</v>
      </c>
      <c r="P29" s="952">
        <f>E29/D29</f>
        <v>1</v>
      </c>
      <c r="Q29" s="952"/>
      <c r="R29" s="952"/>
      <c r="S29" s="953"/>
    </row>
    <row r="30" spans="1:19" ht="26.25">
      <c r="A30" s="944" t="s">
        <v>559</v>
      </c>
      <c r="B30" s="945"/>
      <c r="C30" s="946" t="s">
        <v>1272</v>
      </c>
      <c r="D30" s="947">
        <f t="shared" si="4"/>
        <v>31.985467999999997</v>
      </c>
      <c r="E30" s="948">
        <v>24.607633</v>
      </c>
      <c r="F30" s="948"/>
      <c r="G30" s="948">
        <v>5.572916</v>
      </c>
      <c r="H30" s="949">
        <v>1.804919</v>
      </c>
      <c r="I30" s="947">
        <f t="shared" si="5"/>
        <v>7.742000000000001</v>
      </c>
      <c r="J30" s="948">
        <v>5.123</v>
      </c>
      <c r="K30" s="948"/>
      <c r="L30" s="948">
        <v>2.254</v>
      </c>
      <c r="M30" s="949">
        <v>0.365</v>
      </c>
      <c r="N30" s="990">
        <f>D30/I30*1000</f>
        <v>4131.421854817876</v>
      </c>
      <c r="O30" s="991">
        <f>P30+Q30+R30+S30</f>
        <v>1</v>
      </c>
      <c r="P30" s="952">
        <f>E30/$D$30</f>
        <v>0.7693379068269378</v>
      </c>
      <c r="Q30" s="952">
        <f>F30/$D$30</f>
        <v>0</v>
      </c>
      <c r="R30" s="952">
        <f>G30/$D$30</f>
        <v>0.17423274844688846</v>
      </c>
      <c r="S30" s="953">
        <f>H30/$D$30</f>
        <v>0.05642934472617377</v>
      </c>
    </row>
    <row r="31" spans="1:19" ht="15">
      <c r="A31" s="944" t="s">
        <v>1273</v>
      </c>
      <c r="B31" s="945"/>
      <c r="C31" s="946" t="s">
        <v>593</v>
      </c>
      <c r="D31" s="947">
        <f t="shared" si="4"/>
        <v>2.206756</v>
      </c>
      <c r="E31" s="948"/>
      <c r="F31" s="948"/>
      <c r="G31" s="948">
        <v>1.744059</v>
      </c>
      <c r="H31" s="949">
        <v>0.462697</v>
      </c>
      <c r="I31" s="947">
        <f t="shared" si="5"/>
        <v>0.21600000000000003</v>
      </c>
      <c r="J31" s="948"/>
      <c r="K31" s="948"/>
      <c r="L31" s="948">
        <v>0.168</v>
      </c>
      <c r="M31" s="949">
        <v>0.048</v>
      </c>
      <c r="N31" s="990">
        <f>D31/I31*1000</f>
        <v>10216.462962962962</v>
      </c>
      <c r="O31" s="991"/>
      <c r="P31" s="952"/>
      <c r="Q31" s="952"/>
      <c r="R31" s="952"/>
      <c r="S31" s="953"/>
    </row>
    <row r="32" spans="1:19" ht="15">
      <c r="A32" s="944" t="s">
        <v>1274</v>
      </c>
      <c r="B32" s="945"/>
      <c r="C32" s="946" t="s">
        <v>1275</v>
      </c>
      <c r="D32" s="947">
        <f t="shared" si="4"/>
        <v>0.032283</v>
      </c>
      <c r="E32" s="948">
        <v>0.032283</v>
      </c>
      <c r="F32" s="948"/>
      <c r="G32" s="948"/>
      <c r="H32" s="949"/>
      <c r="I32" s="947">
        <f t="shared" si="5"/>
        <v>0.051</v>
      </c>
      <c r="J32" s="948">
        <v>0.051</v>
      </c>
      <c r="K32" s="948"/>
      <c r="L32" s="948"/>
      <c r="M32" s="949"/>
      <c r="N32" s="990">
        <f>D32/I32*1000</f>
        <v>633</v>
      </c>
      <c r="O32" s="991">
        <f>P32+Q32+R32+S32</f>
        <v>1</v>
      </c>
      <c r="P32" s="952">
        <f>E32/$D$32</f>
        <v>1</v>
      </c>
      <c r="Q32" s="952">
        <f>F32/$D$32</f>
        <v>0</v>
      </c>
      <c r="R32" s="952">
        <f>G32/$D$32</f>
        <v>0</v>
      </c>
      <c r="S32" s="953">
        <f>H32/$D$32</f>
        <v>0</v>
      </c>
    </row>
    <row r="33" spans="1:19" ht="26.25">
      <c r="A33" s="954" t="s">
        <v>1276</v>
      </c>
      <c r="B33" s="945"/>
      <c r="C33" s="955" t="s">
        <v>1277</v>
      </c>
      <c r="D33" s="947">
        <f t="shared" si="4"/>
        <v>5.124574000000001</v>
      </c>
      <c r="E33" s="956">
        <v>4.584556</v>
      </c>
      <c r="F33" s="956"/>
      <c r="G33" s="956">
        <v>0.494722</v>
      </c>
      <c r="H33" s="957">
        <v>0.045296</v>
      </c>
      <c r="I33" s="947">
        <f t="shared" si="5"/>
        <v>1.1859999999999997</v>
      </c>
      <c r="J33" s="956">
        <v>1.055</v>
      </c>
      <c r="K33" s="956"/>
      <c r="L33" s="956">
        <v>0.12</v>
      </c>
      <c r="M33" s="957">
        <v>0.011</v>
      </c>
      <c r="N33" s="990">
        <f>D33/I33*1000</f>
        <v>4320.888701517708</v>
      </c>
      <c r="O33" s="991">
        <f>P33+Q33+R33+S33</f>
        <v>0.9999999999999999</v>
      </c>
      <c r="P33" s="952">
        <f>E33/$D$33</f>
        <v>0.8946218749109681</v>
      </c>
      <c r="Q33" s="952">
        <f>F33/$D$33</f>
        <v>0</v>
      </c>
      <c r="R33" s="952">
        <f>G33/$D$33</f>
        <v>0.09653914647344343</v>
      </c>
      <c r="S33" s="953">
        <f>H33/$D$33</f>
        <v>0.008838978615588338</v>
      </c>
    </row>
    <row r="34" spans="1:19" ht="26.25">
      <c r="A34" s="958" t="s">
        <v>1278</v>
      </c>
      <c r="B34" s="992"/>
      <c r="C34" s="955" t="s">
        <v>1279</v>
      </c>
      <c r="D34" s="947">
        <f t="shared" si="4"/>
        <v>152.154252</v>
      </c>
      <c r="E34" s="956">
        <f>E35+E37+E36+E38</f>
        <v>139.779557</v>
      </c>
      <c r="F34" s="956"/>
      <c r="G34" s="956">
        <f>G35+G37+G36+G38</f>
        <v>12.374695</v>
      </c>
      <c r="H34" s="956">
        <f>H35+H37+H36+H38</f>
        <v>0</v>
      </c>
      <c r="I34" s="947">
        <f>I35+I37+I36+I38</f>
        <v>20.580999999999996</v>
      </c>
      <c r="J34" s="956">
        <f>J35+J37+J36+J38</f>
        <v>18.753</v>
      </c>
      <c r="K34" s="956"/>
      <c r="L34" s="956">
        <f>L35+L37+L36+L38</f>
        <v>1.828</v>
      </c>
      <c r="M34" s="957">
        <f>M35+M37+M36+M38</f>
        <v>0</v>
      </c>
      <c r="N34" s="990"/>
      <c r="O34" s="993"/>
      <c r="P34" s="994"/>
      <c r="Q34" s="994"/>
      <c r="R34" s="994"/>
      <c r="S34" s="995"/>
    </row>
    <row r="35" spans="1:19" ht="15">
      <c r="A35" s="960" t="s">
        <v>1280</v>
      </c>
      <c r="B35" s="996"/>
      <c r="C35" s="946" t="s">
        <v>1281</v>
      </c>
      <c r="D35" s="961">
        <f t="shared" si="4"/>
        <v>36.120187</v>
      </c>
      <c r="E35" s="948">
        <v>34.774563</v>
      </c>
      <c r="F35" s="948"/>
      <c r="G35" s="948">
        <v>1.345624</v>
      </c>
      <c r="H35" s="949"/>
      <c r="I35" s="961">
        <f>J35+K35+L35+M35</f>
        <v>4.112</v>
      </c>
      <c r="J35" s="948">
        <v>3.95</v>
      </c>
      <c r="K35" s="948"/>
      <c r="L35" s="948">
        <v>0.162</v>
      </c>
      <c r="M35" s="949"/>
      <c r="N35" s="990">
        <f>D35/I35*1000</f>
        <v>8784.0921692607</v>
      </c>
      <c r="O35" s="991">
        <f>P35+Q35+R35+S35</f>
        <v>0.9999999999999999</v>
      </c>
      <c r="P35" s="997">
        <f>E35/$D$35</f>
        <v>0.9627459293054047</v>
      </c>
      <c r="Q35" s="997">
        <f>F35/$D$35</f>
        <v>0</v>
      </c>
      <c r="R35" s="997">
        <f>G35/$D$35</f>
        <v>0.037254070694595236</v>
      </c>
      <c r="S35" s="998">
        <f>H35/$D$35</f>
        <v>0</v>
      </c>
    </row>
    <row r="36" spans="1:19" ht="15">
      <c r="A36" s="960" t="s">
        <v>1282</v>
      </c>
      <c r="B36" s="996"/>
      <c r="C36" s="946" t="s">
        <v>1283</v>
      </c>
      <c r="D36" s="961">
        <f t="shared" si="4"/>
        <v>6.310779</v>
      </c>
      <c r="E36" s="948"/>
      <c r="F36" s="948"/>
      <c r="G36" s="948">
        <v>6.310779</v>
      </c>
      <c r="H36" s="949"/>
      <c r="I36" s="961">
        <f>J36+K36+L36+M36</f>
        <v>0.862</v>
      </c>
      <c r="J36" s="948"/>
      <c r="K36" s="948"/>
      <c r="L36" s="948">
        <v>0.862</v>
      </c>
      <c r="M36" s="949"/>
      <c r="N36" s="990">
        <f>D36/I36*1000</f>
        <v>7321.089327146172</v>
      </c>
      <c r="O36" s="991">
        <f>P36+Q36+R36+S36</f>
        <v>1</v>
      </c>
      <c r="P36" s="997">
        <f>E36/$D$36</f>
        <v>0</v>
      </c>
      <c r="Q36" s="997">
        <f>F36/$D$36</f>
        <v>0</v>
      </c>
      <c r="R36" s="997">
        <f>G36/$D$36</f>
        <v>1</v>
      </c>
      <c r="S36" s="998">
        <f>H36/$D$36</f>
        <v>0</v>
      </c>
    </row>
    <row r="37" spans="1:19" ht="15">
      <c r="A37" s="960" t="s">
        <v>1284</v>
      </c>
      <c r="B37" s="996"/>
      <c r="C37" s="946" t="s">
        <v>1290</v>
      </c>
      <c r="D37" s="961">
        <f t="shared" si="4"/>
        <v>102.67942000000001</v>
      </c>
      <c r="E37" s="948">
        <v>97.961128</v>
      </c>
      <c r="F37" s="948"/>
      <c r="G37" s="948">
        <v>4.718292</v>
      </c>
      <c r="H37" s="949"/>
      <c r="I37" s="961">
        <f>J37+K37+L37+M37</f>
        <v>14.364</v>
      </c>
      <c r="J37" s="948">
        <v>13.56</v>
      </c>
      <c r="K37" s="948"/>
      <c r="L37" s="948">
        <v>0.804</v>
      </c>
      <c r="M37" s="949"/>
      <c r="N37" s="990">
        <f>E37/J37*1000</f>
        <v>7224.27197640118</v>
      </c>
      <c r="O37" s="991">
        <f>P37+Q37+R37+S37</f>
        <v>1</v>
      </c>
      <c r="P37" s="997">
        <f>E37/D37</f>
        <v>0.9540483185432874</v>
      </c>
      <c r="Q37" s="997"/>
      <c r="R37" s="997">
        <f>G37/D37</f>
        <v>0.04595168145671255</v>
      </c>
      <c r="S37" s="998">
        <f>H37/D37</f>
        <v>0</v>
      </c>
    </row>
    <row r="38" spans="1:19" ht="15">
      <c r="A38" s="960" t="s">
        <v>1286</v>
      </c>
      <c r="B38" s="962"/>
      <c r="C38" s="963" t="s">
        <v>1291</v>
      </c>
      <c r="D38" s="961">
        <f t="shared" si="4"/>
        <v>7.043866</v>
      </c>
      <c r="E38" s="964">
        <v>7.043866</v>
      </c>
      <c r="F38" s="964"/>
      <c r="G38" s="964"/>
      <c r="H38" s="965"/>
      <c r="I38" s="961">
        <f>J38+K38+L38+M38</f>
        <v>1.243</v>
      </c>
      <c r="J38" s="964">
        <v>1.243</v>
      </c>
      <c r="K38" s="964"/>
      <c r="L38" s="964"/>
      <c r="M38" s="965"/>
      <c r="N38" s="999"/>
      <c r="O38" s="1000"/>
      <c r="P38" s="1001"/>
      <c r="Q38" s="1001"/>
      <c r="R38" s="1001"/>
      <c r="S38" s="1002"/>
    </row>
    <row r="39" spans="1:19" ht="15.75" thickBot="1">
      <c r="A39" s="970" t="s">
        <v>561</v>
      </c>
      <c r="B39" s="1003"/>
      <c r="C39" s="971" t="s">
        <v>1288</v>
      </c>
      <c r="D39" s="972"/>
      <c r="E39" s="964"/>
      <c r="F39" s="964"/>
      <c r="G39" s="964"/>
      <c r="H39" s="973">
        <v>0.161316</v>
      </c>
      <c r="I39" s="972"/>
      <c r="J39" s="964"/>
      <c r="K39" s="964"/>
      <c r="L39" s="964"/>
      <c r="M39" s="973">
        <v>0.053</v>
      </c>
      <c r="N39" s="999"/>
      <c r="O39" s="1000"/>
      <c r="P39" s="1001"/>
      <c r="Q39" s="1001"/>
      <c r="R39" s="1001"/>
      <c r="S39" s="1002"/>
    </row>
    <row r="40" spans="1:19" ht="15.75" thickBot="1">
      <c r="A40" s="1004"/>
      <c r="B40" s="1005"/>
      <c r="C40" s="976" t="s">
        <v>131</v>
      </c>
      <c r="D40" s="977">
        <f>E40+F40+G40+H40</f>
        <v>370.306965</v>
      </c>
      <c r="E40" s="978">
        <f>SUM(E27:E34)</f>
        <v>299.018923</v>
      </c>
      <c r="F40" s="978"/>
      <c r="G40" s="978">
        <f>SUM(G27:G34)</f>
        <v>68.278814</v>
      </c>
      <c r="H40" s="1006">
        <f>SUM(H27:H32,H33,H34,H39)</f>
        <v>3.009228</v>
      </c>
      <c r="I40" s="977">
        <f>J40+K40+L40+M40</f>
        <v>52.80499999999999</v>
      </c>
      <c r="J40" s="978">
        <f>SUM(J27:J34)</f>
        <v>41.501999999999995</v>
      </c>
      <c r="K40" s="978"/>
      <c r="L40" s="978">
        <f>SUM(L27:L34)</f>
        <v>10.769999999999998</v>
      </c>
      <c r="M40" s="979">
        <f>SUM(M27:M32,M33,M34,M39)</f>
        <v>0.533</v>
      </c>
      <c r="N40" s="1007"/>
      <c r="O40" s="1008"/>
      <c r="P40" s="1008"/>
      <c r="Q40" s="1008"/>
      <c r="R40" s="1008"/>
      <c r="S40" s="1009"/>
    </row>
    <row r="41" spans="4:12" ht="15">
      <c r="D41" s="1010"/>
      <c r="F41" s="1010"/>
      <c r="G41" s="1011"/>
      <c r="I41" s="1010"/>
      <c r="J41" s="1012"/>
      <c r="K41" s="1010"/>
      <c r="L41" s="1011"/>
    </row>
    <row r="42" spans="6:12" ht="15">
      <c r="F42" s="1011"/>
      <c r="G42" s="1011"/>
      <c r="L42" s="1010"/>
    </row>
    <row r="43" ht="15">
      <c r="H43" s="1010"/>
    </row>
  </sheetData>
  <sheetProtection/>
  <mergeCells count="11">
    <mergeCell ref="N6:N7"/>
    <mergeCell ref="O6:S6"/>
    <mergeCell ref="B8:C8"/>
    <mergeCell ref="A9:S9"/>
    <mergeCell ref="A25:S25"/>
    <mergeCell ref="A3:S3"/>
    <mergeCell ref="A4:S4"/>
    <mergeCell ref="A6:A7"/>
    <mergeCell ref="B6:C7"/>
    <mergeCell ref="D6:H6"/>
    <mergeCell ref="I6:M6"/>
  </mergeCells>
  <printOptions/>
  <pageMargins left="0.3937007874015748" right="0.3937007874015748" top="0.7480314960629921" bottom="0.3937007874015748" header="0.31496062992125984" footer="0.31496062992125984"/>
  <pageSetup fitToHeight="1" fitToWidth="1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8"/>
  <sheetViews>
    <sheetView zoomScalePageLayoutView="0" workbookViewId="0" topLeftCell="A28">
      <selection activeCell="G35" sqref="G35"/>
    </sheetView>
  </sheetViews>
  <sheetFormatPr defaultColWidth="9.00390625" defaultRowHeight="12.75" outlineLevelCol="1"/>
  <cols>
    <col min="1" max="1" width="6.875" style="362" customWidth="1"/>
    <col min="2" max="2" width="69.625" style="362" customWidth="1"/>
    <col min="3" max="3" width="13.875" style="362" customWidth="1"/>
    <col min="4" max="4" width="12.75390625" style="362" customWidth="1" outlineLevel="1"/>
    <col min="5" max="5" width="13.875" style="362" customWidth="1"/>
    <col min="6" max="6" width="9.875" style="362" customWidth="1"/>
    <col min="7" max="7" width="9.875" style="362" bestFit="1" customWidth="1"/>
    <col min="8" max="16384" width="9.125" style="362" customWidth="1"/>
  </cols>
  <sheetData>
    <row r="1" spans="1:5" ht="12.75">
      <c r="A1" s="1086" t="s">
        <v>594</v>
      </c>
      <c r="B1" s="1086"/>
      <c r="C1" s="1086"/>
      <c r="D1" s="1086"/>
      <c r="E1" s="1086"/>
    </row>
    <row r="2" spans="1:5" ht="18.75">
      <c r="A2" s="1087" t="s">
        <v>595</v>
      </c>
      <c r="B2" s="1087"/>
      <c r="C2" s="1087"/>
      <c r="D2" s="1087"/>
      <c r="E2" s="1087"/>
    </row>
    <row r="3" spans="1:5" ht="15.75">
      <c r="A3" s="1088" t="s">
        <v>596</v>
      </c>
      <c r="B3" s="1088"/>
      <c r="C3" s="1088"/>
      <c r="D3" s="1088"/>
      <c r="E3" s="1088"/>
    </row>
    <row r="4" spans="1:5" ht="15.75">
      <c r="A4" s="1089" t="s">
        <v>543</v>
      </c>
      <c r="B4" s="1089"/>
      <c r="C4" s="1089"/>
      <c r="D4" s="1089"/>
      <c r="E4" s="1089"/>
    </row>
    <row r="5" spans="1:5" ht="19.5" thickBot="1">
      <c r="A5" s="364"/>
      <c r="B5" s="363"/>
      <c r="C5" s="363"/>
      <c r="D5" s="364"/>
      <c r="E5" s="361" t="s">
        <v>196</v>
      </c>
    </row>
    <row r="6" spans="1:5" ht="12.75">
      <c r="A6" s="1090" t="s">
        <v>597</v>
      </c>
      <c r="B6" s="1092" t="s">
        <v>598</v>
      </c>
      <c r="C6" s="1094" t="s">
        <v>1232</v>
      </c>
      <c r="D6" s="1096" t="s">
        <v>1233</v>
      </c>
      <c r="E6" s="1098" t="s">
        <v>1248</v>
      </c>
    </row>
    <row r="7" spans="1:5" ht="27.75" customHeight="1">
      <c r="A7" s="1091"/>
      <c r="B7" s="1093"/>
      <c r="C7" s="1095"/>
      <c r="D7" s="1097"/>
      <c r="E7" s="1099"/>
    </row>
    <row r="8" spans="1:5" ht="16.5" thickBot="1">
      <c r="A8" s="366">
        <v>1</v>
      </c>
      <c r="B8" s="367">
        <v>2</v>
      </c>
      <c r="C8" s="366">
        <v>3</v>
      </c>
      <c r="D8" s="368">
        <v>4</v>
      </c>
      <c r="E8" s="369">
        <v>4</v>
      </c>
    </row>
    <row r="9" spans="1:5" ht="15.75">
      <c r="A9" s="370" t="s">
        <v>26</v>
      </c>
      <c r="B9" s="371" t="s">
        <v>599</v>
      </c>
      <c r="C9" s="372"/>
      <c r="D9" s="918">
        <v>136.59</v>
      </c>
      <c r="E9" s="919">
        <f>D9*'2020-2024'!E14</f>
        <v>150.65877</v>
      </c>
    </row>
    <row r="10" spans="1:5" ht="15.75">
      <c r="A10" s="373" t="s">
        <v>27</v>
      </c>
      <c r="B10" s="374" t="s">
        <v>600</v>
      </c>
      <c r="C10" s="375"/>
      <c r="D10" s="376"/>
      <c r="E10" s="377"/>
    </row>
    <row r="11" spans="1:5" ht="15.75">
      <c r="A11" s="373"/>
      <c r="B11" s="378" t="s">
        <v>601</v>
      </c>
      <c r="C11" s="375"/>
      <c r="D11" s="376"/>
      <c r="E11" s="377"/>
    </row>
    <row r="12" spans="1:5" ht="15.75">
      <c r="A12" s="373" t="s">
        <v>28</v>
      </c>
      <c r="B12" s="374" t="s">
        <v>602</v>
      </c>
      <c r="C12" s="379">
        <f>C13</f>
        <v>7797.764450000001</v>
      </c>
      <c r="D12" s="380">
        <f>D13</f>
        <v>14015.59</v>
      </c>
      <c r="E12" s="381">
        <f>E13</f>
        <v>15459.19577</v>
      </c>
    </row>
    <row r="13" spans="1:7" ht="15.75">
      <c r="A13" s="373"/>
      <c r="B13" s="378" t="s">
        <v>601</v>
      </c>
      <c r="C13" s="379">
        <f>'[4]передача ээ '!$V$12</f>
        <v>7797.764450000001</v>
      </c>
      <c r="D13" s="380">
        <f>'2020-2024'!D21</f>
        <v>14015.59</v>
      </c>
      <c r="E13" s="381">
        <f>D13*'2020-2024'!E14</f>
        <v>15459.19577</v>
      </c>
      <c r="F13" s="385">
        <f>'18.2'!G17</f>
        <v>15459.19577</v>
      </c>
      <c r="G13" s="385">
        <f>'18.2'!E17</f>
        <v>14015.59</v>
      </c>
    </row>
    <row r="14" spans="1:5" ht="15.75">
      <c r="A14" s="373" t="s">
        <v>202</v>
      </c>
      <c r="B14" s="382" t="s">
        <v>603</v>
      </c>
      <c r="C14" s="375"/>
      <c r="D14" s="376"/>
      <c r="E14" s="377"/>
    </row>
    <row r="15" spans="1:5" ht="15.75">
      <c r="A15" s="373" t="s">
        <v>204</v>
      </c>
      <c r="B15" s="382" t="s">
        <v>604</v>
      </c>
      <c r="C15" s="375"/>
      <c r="D15" s="376"/>
      <c r="E15" s="377"/>
    </row>
    <row r="16" spans="1:5" ht="15.75">
      <c r="A16" s="373" t="s">
        <v>605</v>
      </c>
      <c r="B16" s="383" t="s">
        <v>606</v>
      </c>
      <c r="C16" s="375"/>
      <c r="D16" s="376"/>
      <c r="E16" s="377"/>
    </row>
    <row r="17" spans="1:5" ht="15.75">
      <c r="A17" s="373" t="s">
        <v>607</v>
      </c>
      <c r="B17" s="384" t="s">
        <v>608</v>
      </c>
      <c r="C17" s="375"/>
      <c r="D17" s="376"/>
      <c r="E17" s="377"/>
    </row>
    <row r="18" spans="1:7" ht="15.75">
      <c r="A18" s="373" t="s">
        <v>206</v>
      </c>
      <c r="B18" s="374" t="s">
        <v>609</v>
      </c>
      <c r="C18" s="379">
        <f>'[4]передача ээ '!$V$8</f>
        <v>60102.069375646206</v>
      </c>
      <c r="D18" s="380">
        <f>'2020-2024'!D20</f>
        <v>60568.87</v>
      </c>
      <c r="E18" s="381">
        <f>D18*'2020-2024'!E14</f>
        <v>66807.46361</v>
      </c>
      <c r="F18" s="385">
        <f>'18.2'!G8+'18.2'!G21+'18.2'!G37</f>
        <v>66807.46360999999</v>
      </c>
      <c r="G18" s="385">
        <f>'18.2'!E8+'18.2'!E21+'18.2'!E37</f>
        <v>60568.87</v>
      </c>
    </row>
    <row r="19" spans="1:5" ht="15.75">
      <c r="A19" s="373"/>
      <c r="B19" s="374" t="s">
        <v>601</v>
      </c>
      <c r="C19" s="375"/>
      <c r="D19" s="376"/>
      <c r="E19" s="377"/>
    </row>
    <row r="20" spans="1:7" ht="15.75">
      <c r="A20" s="373" t="s">
        <v>610</v>
      </c>
      <c r="B20" s="374" t="s">
        <v>611</v>
      </c>
      <c r="C20" s="379">
        <f>'[4]передача ээ '!$V$31</f>
        <v>18015.01587</v>
      </c>
      <c r="D20" s="380">
        <f>'2020-2024'!D42</f>
        <v>18412.93648</v>
      </c>
      <c r="E20" s="381">
        <f>D20*'2020-2024'!E14</f>
        <v>20309.46893744</v>
      </c>
      <c r="F20" s="385">
        <f>'18.2'!G38+'18.2'!G22+'18.2'!G10</f>
        <v>20309.46893744</v>
      </c>
      <c r="G20" s="385">
        <f>'18.2'!E38+'18.2'!E10+'18.2'!E22</f>
        <v>18412.93648</v>
      </c>
    </row>
    <row r="21" spans="1:5" ht="15.75">
      <c r="A21" s="373"/>
      <c r="B21" s="374" t="s">
        <v>601</v>
      </c>
      <c r="C21" s="375"/>
      <c r="D21" s="376"/>
      <c r="E21" s="381"/>
    </row>
    <row r="22" spans="1:7" ht="15.75">
      <c r="A22" s="373" t="s">
        <v>612</v>
      </c>
      <c r="B22" s="374" t="s">
        <v>613</v>
      </c>
      <c r="C22" s="379">
        <f>'[4]передача ээ '!$V$20</f>
        <v>20358.41345</v>
      </c>
      <c r="D22" s="380">
        <f>'2020-2024'!D33</f>
        <v>18008.44737</v>
      </c>
      <c r="E22" s="381">
        <f>'неподконтрольные ээ'!H8/1000</f>
        <v>19209.841777366295</v>
      </c>
      <c r="F22" s="385">
        <f>'18.2'!G12</f>
        <v>19209.841777366295</v>
      </c>
      <c r="G22" s="385">
        <f>'18.2'!E12</f>
        <v>18008.44737</v>
      </c>
    </row>
    <row r="23" spans="1:7" ht="15.75">
      <c r="A23" s="373" t="s">
        <v>614</v>
      </c>
      <c r="B23" s="374" t="s">
        <v>615</v>
      </c>
      <c r="C23" s="379">
        <f>C36-C12-C18-C20-C22</f>
        <v>13569.29914000001</v>
      </c>
      <c r="D23" s="380">
        <f>D36-D9-D12-D18-D20-D22</f>
        <v>9060.724649999993</v>
      </c>
      <c r="E23" s="917">
        <f>SUM(E24:E30,E33)</f>
        <v>10823.91197888772</v>
      </c>
      <c r="F23" s="385">
        <f>'18.2'!G18+'18.2'!G23</f>
        <v>10974.57199527772</v>
      </c>
      <c r="G23" s="385">
        <f>'18.2'!E18+'18.2'!E23</f>
        <v>9197.31113</v>
      </c>
    </row>
    <row r="24" spans="1:5" ht="15.75">
      <c r="A24" s="373" t="s">
        <v>616</v>
      </c>
      <c r="B24" s="383" t="s">
        <v>617</v>
      </c>
      <c r="C24" s="379"/>
      <c r="D24" s="380"/>
      <c r="E24" s="381"/>
    </row>
    <row r="25" spans="1:5" ht="15.75">
      <c r="A25" s="373" t="s">
        <v>618</v>
      </c>
      <c r="B25" s="383" t="s">
        <v>619</v>
      </c>
      <c r="C25" s="379"/>
      <c r="D25" s="380"/>
      <c r="E25" s="381">
        <f>'неподконтрольные ээ'!H15/1000</f>
        <v>58.00417995463172</v>
      </c>
    </row>
    <row r="26" spans="1:5" ht="15.75">
      <c r="A26" s="373" t="s">
        <v>620</v>
      </c>
      <c r="B26" s="384" t="s">
        <v>621</v>
      </c>
      <c r="C26" s="379"/>
      <c r="D26" s="380"/>
      <c r="E26" s="381"/>
    </row>
    <row r="27" spans="1:5" ht="30">
      <c r="A27" s="373" t="s">
        <v>622</v>
      </c>
      <c r="B27" s="383" t="s">
        <v>623</v>
      </c>
      <c r="C27" s="379"/>
      <c r="D27" s="380"/>
      <c r="E27" s="381"/>
    </row>
    <row r="28" spans="1:5" ht="15.75">
      <c r="A28" s="373" t="s">
        <v>624</v>
      </c>
      <c r="B28" s="378" t="s">
        <v>625</v>
      </c>
      <c r="C28" s="379"/>
      <c r="D28" s="380"/>
      <c r="E28" s="381"/>
    </row>
    <row r="29" spans="1:5" ht="15.75">
      <c r="A29" s="373" t="s">
        <v>626</v>
      </c>
      <c r="B29" s="378" t="s">
        <v>627</v>
      </c>
      <c r="C29" s="379"/>
      <c r="D29" s="380"/>
      <c r="E29" s="381"/>
    </row>
    <row r="30" spans="1:5" ht="30">
      <c r="A30" s="373" t="s">
        <v>628</v>
      </c>
      <c r="B30" s="384" t="s">
        <v>629</v>
      </c>
      <c r="C30" s="386">
        <f>C31+C32</f>
        <v>0</v>
      </c>
      <c r="D30" s="380">
        <f>D31+D32</f>
        <v>0</v>
      </c>
      <c r="E30" s="387">
        <f>E31+E32</f>
        <v>326.3814889330893</v>
      </c>
    </row>
    <row r="31" spans="1:5" ht="15.75">
      <c r="A31" s="373" t="s">
        <v>630</v>
      </c>
      <c r="B31" s="388" t="s">
        <v>631</v>
      </c>
      <c r="C31" s="379"/>
      <c r="D31" s="380"/>
      <c r="E31" s="381">
        <f>'неподконтрольные ээ'!H17/1000</f>
        <v>297.8117477160208</v>
      </c>
    </row>
    <row r="32" spans="1:5" ht="15.75">
      <c r="A32" s="373" t="s">
        <v>632</v>
      </c>
      <c r="B32" s="388" t="s">
        <v>633</v>
      </c>
      <c r="C32" s="379"/>
      <c r="D32" s="380"/>
      <c r="E32" s="381">
        <f>'неподконтрольные ээ'!H19/1000</f>
        <v>28.569741217068476</v>
      </c>
    </row>
    <row r="33" spans="1:5" ht="15.75">
      <c r="A33" s="373" t="s">
        <v>634</v>
      </c>
      <c r="B33" s="378" t="s">
        <v>635</v>
      </c>
      <c r="C33" s="379">
        <f>C23</f>
        <v>13569.29914000001</v>
      </c>
      <c r="D33" s="380">
        <f>D23</f>
        <v>9060.724649999993</v>
      </c>
      <c r="E33" s="381">
        <f>E35+'2020-2024'!E22</f>
        <v>10439.52631</v>
      </c>
    </row>
    <row r="34" spans="1:5" ht="15.75">
      <c r="A34" s="373" t="s">
        <v>636</v>
      </c>
      <c r="B34" s="388" t="s">
        <v>567</v>
      </c>
      <c r="C34" s="379"/>
      <c r="D34" s="380"/>
      <c r="E34" s="381"/>
    </row>
    <row r="35" spans="1:5" ht="15.75">
      <c r="A35" s="373" t="s">
        <v>637</v>
      </c>
      <c r="B35" s="388" t="s">
        <v>638</v>
      </c>
      <c r="C35" s="379">
        <f>'[4]передача ээ '!$V$24</f>
        <v>865.43694</v>
      </c>
      <c r="D35" s="380">
        <f>'[6]НВВ 2020-2024'!$F$72</f>
        <v>48.9</v>
      </c>
      <c r="E35" s="381">
        <f>'неподконтрольные ээ'!H10/1000</f>
        <v>859.7837999999999</v>
      </c>
    </row>
    <row r="36" spans="1:7" s="395" customFormat="1" ht="15.75">
      <c r="A36" s="389" t="s">
        <v>639</v>
      </c>
      <c r="B36" s="390" t="s">
        <v>640</v>
      </c>
      <c r="C36" s="391">
        <f>'[4]передача ээ '!$V$36-'[4]передача ээ '!$V$27-'[4]передача ээ '!$V$15</f>
        <v>119842.56228564621</v>
      </c>
      <c r="D36" s="392">
        <f>'[6]НВВ 2020-2024'!$F$91-'[6]НВВ 2020-2024'!$F$65-'[6]НВВ 2020-2024'!$F$78-'[6]НВВ 2020-2024'!$F$88</f>
        <v>120203.15849999999</v>
      </c>
      <c r="E36" s="393">
        <f>'2020-2024'!E47-'2020-2024'!E27-'2020-2024'!E34-'2020-2024'!E40</f>
        <v>132760.55209008403</v>
      </c>
      <c r="F36" s="394"/>
      <c r="G36" s="394"/>
    </row>
    <row r="37" spans="1:5" ht="15.75">
      <c r="A37" s="373"/>
      <c r="B37" s="374" t="s">
        <v>601</v>
      </c>
      <c r="C37" s="379">
        <f>C13</f>
        <v>7797.764450000001</v>
      </c>
      <c r="D37" s="380">
        <f>D13</f>
        <v>14015.59</v>
      </c>
      <c r="E37" s="381">
        <f>E13</f>
        <v>15459.19577</v>
      </c>
    </row>
    <row r="38" spans="1:5" s="395" customFormat="1" ht="15.75">
      <c r="A38" s="389" t="s">
        <v>641</v>
      </c>
      <c r="B38" s="390" t="s">
        <v>642</v>
      </c>
      <c r="C38" s="391">
        <f>'[4]передача ээ '!$C$41</f>
        <v>17866.39000000002</v>
      </c>
      <c r="D38" s="392">
        <f>'[6]НВВ 2020-2024'!$F$94+'[6]НВВ 2020-2024'!$F$95</f>
        <v>8439.03</v>
      </c>
      <c r="E38" s="393">
        <f>-'[4]передача ээ '!$AC$41</f>
        <v>27981.68918734046</v>
      </c>
    </row>
    <row r="39" spans="1:5" s="395" customFormat="1" ht="15.75">
      <c r="A39" s="389" t="s">
        <v>643</v>
      </c>
      <c r="B39" s="390" t="s">
        <v>644</v>
      </c>
      <c r="C39" s="391"/>
      <c r="D39" s="392"/>
      <c r="E39" s="393"/>
    </row>
    <row r="40" spans="1:8" s="395" customFormat="1" ht="15.75">
      <c r="A40" s="389" t="s">
        <v>645</v>
      </c>
      <c r="B40" s="390" t="s">
        <v>646</v>
      </c>
      <c r="C40" s="391">
        <f>C36+C38</f>
        <v>137708.95228564623</v>
      </c>
      <c r="D40" s="392">
        <f>D36+D38</f>
        <v>128642.18849999999</v>
      </c>
      <c r="E40" s="393">
        <f>E36+E38</f>
        <v>160742.2412774245</v>
      </c>
      <c r="F40" s="394">
        <f>'18.2'!G42</f>
        <v>160742.23127742446</v>
      </c>
      <c r="G40" s="394">
        <f>'18.2'!E42</f>
        <v>128642.18498</v>
      </c>
      <c r="H40" s="394"/>
    </row>
    <row r="41" spans="1:5" ht="15.75">
      <c r="A41" s="373"/>
      <c r="B41" s="374" t="s">
        <v>647</v>
      </c>
      <c r="C41" s="379"/>
      <c r="D41" s="380"/>
      <c r="E41" s="381"/>
    </row>
    <row r="42" spans="1:5" ht="15.75">
      <c r="A42" s="396" t="s">
        <v>648</v>
      </c>
      <c r="B42" s="374" t="s">
        <v>649</v>
      </c>
      <c r="C42" s="379">
        <f>C44+C45</f>
        <v>137708.95228564623</v>
      </c>
      <c r="D42" s="380">
        <f>D45</f>
        <v>128642.18849999999</v>
      </c>
      <c r="E42" s="381">
        <f>E45</f>
        <v>160742.2412774245</v>
      </c>
    </row>
    <row r="43" spans="1:5" ht="15.75">
      <c r="A43" s="396" t="s">
        <v>650</v>
      </c>
      <c r="B43" s="388" t="s">
        <v>651</v>
      </c>
      <c r="C43" s="379"/>
      <c r="D43" s="380"/>
      <c r="E43" s="381"/>
    </row>
    <row r="44" spans="1:5" ht="15.75">
      <c r="A44" s="396" t="s">
        <v>652</v>
      </c>
      <c r="B44" s="388" t="s">
        <v>653</v>
      </c>
      <c r="C44" s="379"/>
      <c r="D44" s="380"/>
      <c r="E44" s="381"/>
    </row>
    <row r="45" spans="1:6" ht="15.75">
      <c r="A45" s="396" t="s">
        <v>654</v>
      </c>
      <c r="B45" s="388" t="s">
        <v>655</v>
      </c>
      <c r="C45" s="379">
        <f>C36+C38-C39</f>
        <v>137708.95228564623</v>
      </c>
      <c r="D45" s="380">
        <f>D40</f>
        <v>128642.18849999999</v>
      </c>
      <c r="E45" s="381">
        <f>E40</f>
        <v>160742.2412774245</v>
      </c>
      <c r="F45" s="385"/>
    </row>
    <row r="46" spans="1:5" ht="15.75">
      <c r="A46" s="373" t="s">
        <v>656</v>
      </c>
      <c r="B46" s="374" t="s">
        <v>657</v>
      </c>
      <c r="C46" s="379"/>
      <c r="D46" s="376"/>
      <c r="E46" s="381"/>
    </row>
    <row r="47" spans="1:5" ht="15.75">
      <c r="A47" s="396" t="s">
        <v>658</v>
      </c>
      <c r="B47" s="388" t="s">
        <v>659</v>
      </c>
      <c r="C47" s="375"/>
      <c r="D47" s="376"/>
      <c r="E47" s="377"/>
    </row>
    <row r="48" spans="1:5" ht="15.75">
      <c r="A48" s="396" t="s">
        <v>660</v>
      </c>
      <c r="B48" s="388" t="s">
        <v>661</v>
      </c>
      <c r="C48" s="375"/>
      <c r="D48" s="376"/>
      <c r="E48" s="377"/>
    </row>
    <row r="49" spans="1:5" ht="15.75">
      <c r="A49" s="396" t="s">
        <v>662</v>
      </c>
      <c r="B49" s="388" t="s">
        <v>663</v>
      </c>
      <c r="C49" s="375"/>
      <c r="D49" s="376"/>
      <c r="E49" s="377"/>
    </row>
    <row r="50" spans="1:5" ht="16.5" thickBot="1">
      <c r="A50" s="397" t="s">
        <v>664</v>
      </c>
      <c r="B50" s="398" t="s">
        <v>665</v>
      </c>
      <c r="C50" s="399"/>
      <c r="D50" s="400"/>
      <c r="E50" s="401"/>
    </row>
    <row r="51" ht="12.75">
      <c r="A51" s="402"/>
    </row>
    <row r="52" spans="1:5" ht="18" customHeight="1">
      <c r="A52" s="1084" t="str">
        <f>'[2]6'!A36:H36</f>
        <v>Начальник ПЭО</v>
      </c>
      <c r="B52" s="1084"/>
      <c r="C52" s="1085" t="str">
        <f>'[2]6'!I36</f>
        <v>М.С. Мироненко</v>
      </c>
      <c r="D52" s="1085"/>
      <c r="E52" s="1085"/>
    </row>
    <row r="53" spans="1:7" ht="12.75">
      <c r="A53" s="402"/>
      <c r="C53" s="385"/>
      <c r="D53" s="385"/>
      <c r="E53" s="385"/>
      <c r="F53" s="385"/>
      <c r="G53" s="385"/>
    </row>
    <row r="54" spans="1:3" ht="12.75">
      <c r="A54" s="402"/>
      <c r="C54" s="385"/>
    </row>
    <row r="55" spans="1:3" ht="12.75">
      <c r="A55" s="402"/>
      <c r="C55" s="385"/>
    </row>
    <row r="56" ht="12.75">
      <c r="A56" s="402"/>
    </row>
    <row r="57" ht="12.75">
      <c r="A57" s="402"/>
    </row>
    <row r="58" ht="12.75">
      <c r="A58" s="402"/>
    </row>
    <row r="59" ht="12.75">
      <c r="A59" s="402"/>
    </row>
    <row r="60" ht="12.75">
      <c r="A60" s="402"/>
    </row>
    <row r="61" ht="12.75">
      <c r="A61" s="402"/>
    </row>
    <row r="62" ht="12.75">
      <c r="A62" s="402"/>
    </row>
    <row r="63" ht="12.75">
      <c r="A63" s="402"/>
    </row>
    <row r="64" ht="12.75">
      <c r="A64" s="402"/>
    </row>
    <row r="65" ht="12.75">
      <c r="A65" s="402"/>
    </row>
    <row r="66" ht="12.75">
      <c r="A66" s="402"/>
    </row>
    <row r="67" ht="12.75">
      <c r="A67" s="402"/>
    </row>
    <row r="68" ht="12.75">
      <c r="A68" s="402"/>
    </row>
    <row r="69" ht="12.75">
      <c r="A69" s="402"/>
    </row>
    <row r="70" ht="12.75">
      <c r="A70" s="402"/>
    </row>
    <row r="71" ht="12.75">
      <c r="A71" s="402"/>
    </row>
    <row r="72" ht="12.75">
      <c r="A72" s="402"/>
    </row>
    <row r="73" ht="12.75">
      <c r="A73" s="402"/>
    </row>
    <row r="74" ht="12.75">
      <c r="A74" s="402"/>
    </row>
    <row r="75" ht="12.75">
      <c r="A75" s="402"/>
    </row>
    <row r="76" ht="12.75">
      <c r="A76" s="402"/>
    </row>
    <row r="77" ht="12.75">
      <c r="A77" s="402"/>
    </row>
    <row r="78" ht="12.75">
      <c r="A78" s="402"/>
    </row>
  </sheetData>
  <sheetProtection/>
  <mergeCells count="11">
    <mergeCell ref="E6:E7"/>
    <mergeCell ref="A52:B52"/>
    <mergeCell ref="C52:E52"/>
    <mergeCell ref="A1:E1"/>
    <mergeCell ref="A2:E2"/>
    <mergeCell ref="A3:E3"/>
    <mergeCell ref="A4:E4"/>
    <mergeCell ref="A6:A7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58"/>
  <sheetViews>
    <sheetView zoomScalePageLayoutView="0" workbookViewId="0" topLeftCell="A27">
      <selection activeCell="G23" sqref="G23"/>
    </sheetView>
  </sheetViews>
  <sheetFormatPr defaultColWidth="9.00390625" defaultRowHeight="12.75" outlineLevelRow="1" outlineLevelCol="1"/>
  <cols>
    <col min="1" max="1" width="5.625" style="403" customWidth="1"/>
    <col min="2" max="2" width="47.25390625" style="403" customWidth="1"/>
    <col min="3" max="3" width="11.25390625" style="403" bestFit="1" customWidth="1"/>
    <col min="4" max="4" width="7.625" style="403" customWidth="1"/>
    <col min="5" max="5" width="12.25390625" style="404" customWidth="1" outlineLevel="1"/>
    <col min="6" max="6" width="7.625" style="404" customWidth="1" outlineLevel="1"/>
    <col min="7" max="7" width="12.125" style="404" bestFit="1" customWidth="1"/>
    <col min="8" max="8" width="8.375" style="404" customWidth="1"/>
    <col min="9" max="9" width="12.125" style="404" bestFit="1" customWidth="1"/>
    <col min="10" max="10" width="14.125" style="404" customWidth="1"/>
    <col min="11" max="11" width="12.125" style="404" bestFit="1" customWidth="1"/>
    <col min="12" max="12" width="9.625" style="404" customWidth="1"/>
    <col min="13" max="14" width="10.75390625" style="404" customWidth="1"/>
    <col min="15" max="15" width="12.00390625" style="404" customWidth="1"/>
    <col min="16" max="16384" width="9.125" style="404" customWidth="1"/>
  </cols>
  <sheetData>
    <row r="1" ht="16.5">
      <c r="H1" s="361" t="s">
        <v>666</v>
      </c>
    </row>
    <row r="2" spans="1:8" ht="18.75">
      <c r="A2" s="1102" t="s">
        <v>667</v>
      </c>
      <c r="B2" s="1102"/>
      <c r="C2" s="1102"/>
      <c r="D2" s="1102"/>
      <c r="E2" s="1102"/>
      <c r="F2" s="1102"/>
      <c r="G2" s="1102"/>
      <c r="H2" s="1102"/>
    </row>
    <row r="3" spans="1:8" ht="18.75">
      <c r="A3" s="1103" t="str">
        <f>"по сетям "&amp;'[2]15 (ЭЭ)'!A4</f>
        <v>по сетям ОАО "Электротехнический комплекс"</v>
      </c>
      <c r="B3" s="1103"/>
      <c r="C3" s="1103"/>
      <c r="D3" s="1103"/>
      <c r="E3" s="1103"/>
      <c r="F3" s="1103"/>
      <c r="G3" s="1103"/>
      <c r="H3" s="1103"/>
    </row>
    <row r="4" spans="2:8" ht="17.25" thickBot="1">
      <c r="B4" s="405"/>
      <c r="C4" s="405"/>
      <c r="D4" s="405"/>
      <c r="H4" s="361" t="s">
        <v>196</v>
      </c>
    </row>
    <row r="5" spans="1:8" ht="45" customHeight="1">
      <c r="A5" s="1104" t="s">
        <v>597</v>
      </c>
      <c r="B5" s="1105" t="s">
        <v>668</v>
      </c>
      <c r="C5" s="1094" t="s">
        <v>1232</v>
      </c>
      <c r="D5" s="1107"/>
      <c r="E5" s="1108" t="s">
        <v>1233</v>
      </c>
      <c r="F5" s="1109"/>
      <c r="G5" s="1094" t="s">
        <v>1248</v>
      </c>
      <c r="H5" s="1107"/>
    </row>
    <row r="6" spans="1:8" ht="38.25">
      <c r="A6" s="1095"/>
      <c r="B6" s="1106"/>
      <c r="C6" s="365" t="str">
        <f>E6</f>
        <v>всего</v>
      </c>
      <c r="D6" s="406" t="str">
        <f>F6</f>
        <v>из них расходы     на сбыт</v>
      </c>
      <c r="E6" s="407" t="s">
        <v>551</v>
      </c>
      <c r="F6" s="408" t="s">
        <v>669</v>
      </c>
      <c r="G6" s="365" t="s">
        <v>551</v>
      </c>
      <c r="H6" s="406" t="s">
        <v>669</v>
      </c>
    </row>
    <row r="7" spans="1:8" ht="17.25" thickBot="1">
      <c r="A7" s="409">
        <v>1</v>
      </c>
      <c r="B7" s="410">
        <v>2</v>
      </c>
      <c r="C7" s="411">
        <v>3</v>
      </c>
      <c r="D7" s="412">
        <v>4</v>
      </c>
      <c r="E7" s="413">
        <v>5</v>
      </c>
      <c r="F7" s="414">
        <v>6</v>
      </c>
      <c r="G7" s="415">
        <v>5</v>
      </c>
      <c r="H7" s="412">
        <v>6</v>
      </c>
    </row>
    <row r="8" spans="1:10" ht="16.5">
      <c r="A8" s="416" t="s">
        <v>26</v>
      </c>
      <c r="B8" s="417" t="s">
        <v>670</v>
      </c>
      <c r="C8" s="418">
        <f>'[4]передача ээ '!$V$9</f>
        <v>19368.73161</v>
      </c>
      <c r="D8" s="419"/>
      <c r="E8" s="420">
        <f>'[6]НВВ 2020-2024'!$F$27</f>
        <v>20523.34</v>
      </c>
      <c r="F8" s="421"/>
      <c r="G8" s="420">
        <f>E8*'2020-2024'!E14</f>
        <v>22637.24402</v>
      </c>
      <c r="H8" s="422"/>
      <c r="I8" s="423"/>
      <c r="J8" s="423"/>
    </row>
    <row r="9" spans="1:9" ht="17.25" thickBot="1">
      <c r="A9" s="424" t="s">
        <v>27</v>
      </c>
      <c r="B9" s="425" t="s">
        <v>671</v>
      </c>
      <c r="C9" s="426"/>
      <c r="D9" s="427"/>
      <c r="E9" s="428"/>
      <c r="F9" s="427"/>
      <c r="G9" s="428"/>
      <c r="H9" s="429"/>
      <c r="I9" s="423"/>
    </row>
    <row r="10" spans="1:14" ht="16.5">
      <c r="A10" s="424" t="s">
        <v>28</v>
      </c>
      <c r="B10" s="425" t="s">
        <v>672</v>
      </c>
      <c r="C10" s="426">
        <v>5876.0402</v>
      </c>
      <c r="D10" s="430"/>
      <c r="E10" s="431">
        <f>E8*0.304</f>
        <v>6239.09536</v>
      </c>
      <c r="F10" s="427"/>
      <c r="G10" s="420">
        <f>E10*'2020-2024'!E14</f>
        <v>6881.7221820800005</v>
      </c>
      <c r="H10" s="429"/>
      <c r="J10" s="423"/>
      <c r="L10" s="432"/>
      <c r="M10" s="432"/>
      <c r="N10" s="432"/>
    </row>
    <row r="11" spans="1:15" ht="24">
      <c r="A11" s="424" t="s">
        <v>202</v>
      </c>
      <c r="B11" s="425" t="s">
        <v>673</v>
      </c>
      <c r="C11" s="426">
        <f>C12+C17+C18</f>
        <v>33062.734830000016</v>
      </c>
      <c r="D11" s="427"/>
      <c r="E11" s="431">
        <f>E12+E17+E18</f>
        <v>38662.1085</v>
      </c>
      <c r="F11" s="427"/>
      <c r="G11" s="431">
        <f>G12+G17+G18</f>
        <v>41990.830003756295</v>
      </c>
      <c r="H11" s="429"/>
      <c r="K11" s="433"/>
      <c r="L11" s="434"/>
      <c r="M11" s="434"/>
      <c r="N11" s="434"/>
      <c r="O11" s="434"/>
    </row>
    <row r="12" spans="1:15" ht="16.5">
      <c r="A12" s="435" t="s">
        <v>674</v>
      </c>
      <c r="B12" s="436" t="s">
        <v>675</v>
      </c>
      <c r="C12" s="426">
        <f>'[4]передача ээ '!$V$20</f>
        <v>20358.41345</v>
      </c>
      <c r="D12" s="427"/>
      <c r="E12" s="431">
        <f>'[6]НВВ 2020-2024'!$F$83</f>
        <v>18008.44737</v>
      </c>
      <c r="F12" s="427"/>
      <c r="G12" s="431">
        <f>'неподконтрольные ээ'!H8/1000</f>
        <v>19209.841777366295</v>
      </c>
      <c r="H12" s="429"/>
      <c r="K12" s="433"/>
      <c r="L12" s="434"/>
      <c r="M12" s="434"/>
      <c r="N12" s="434"/>
      <c r="O12" s="434"/>
    </row>
    <row r="13" spans="1:15" ht="16.5" customHeight="1" hidden="1" outlineLevel="1">
      <c r="A13" s="435"/>
      <c r="B13" s="436" t="s">
        <v>97</v>
      </c>
      <c r="C13" s="426"/>
      <c r="D13" s="427"/>
      <c r="E13" s="428"/>
      <c r="F13" s="427"/>
      <c r="G13" s="428"/>
      <c r="H13" s="429"/>
      <c r="K13" s="433"/>
      <c r="L13" s="434"/>
      <c r="M13" s="434"/>
      <c r="N13" s="434"/>
      <c r="O13" s="434"/>
    </row>
    <row r="14" spans="1:15" ht="16.5" customHeight="1" hidden="1" outlineLevel="1">
      <c r="A14" s="435"/>
      <c r="B14" s="436" t="s">
        <v>512</v>
      </c>
      <c r="C14" s="426"/>
      <c r="D14" s="427"/>
      <c r="E14" s="428"/>
      <c r="F14" s="427"/>
      <c r="G14" s="428"/>
      <c r="H14" s="429"/>
      <c r="K14" s="433"/>
      <c r="L14" s="434"/>
      <c r="M14" s="434"/>
      <c r="N14" s="434"/>
      <c r="O14" s="434"/>
    </row>
    <row r="15" spans="1:15" ht="16.5" customHeight="1" hidden="1" outlineLevel="1">
      <c r="A15" s="435"/>
      <c r="B15" s="436" t="s">
        <v>513</v>
      </c>
      <c r="C15" s="426"/>
      <c r="D15" s="427"/>
      <c r="E15" s="428" t="e">
        <f>G15</f>
        <v>#REF!</v>
      </c>
      <c r="F15" s="427"/>
      <c r="G15" s="428" t="e">
        <f>#REF!</f>
        <v>#REF!</v>
      </c>
      <c r="H15" s="429"/>
      <c r="K15" s="433"/>
      <c r="L15" s="434"/>
      <c r="M15" s="434"/>
      <c r="N15" s="434"/>
      <c r="O15" s="434"/>
    </row>
    <row r="16" spans="1:15" ht="16.5" customHeight="1" hidden="1" outlineLevel="1">
      <c r="A16" s="435"/>
      <c r="B16" s="436" t="s">
        <v>39</v>
      </c>
      <c r="C16" s="426"/>
      <c r="D16" s="427"/>
      <c r="E16" s="428"/>
      <c r="F16" s="427"/>
      <c r="G16" s="428"/>
      <c r="H16" s="429"/>
      <c r="K16" s="433"/>
      <c r="L16" s="434"/>
      <c r="M16" s="434"/>
      <c r="N16" s="434"/>
      <c r="O16" s="434"/>
    </row>
    <row r="17" spans="1:15" ht="16.5" collapsed="1">
      <c r="A17" s="435" t="s">
        <v>676</v>
      </c>
      <c r="B17" s="436" t="s">
        <v>677</v>
      </c>
      <c r="C17" s="426">
        <f>'[4]передача ээ '!$V$12</f>
        <v>7797.764450000001</v>
      </c>
      <c r="D17" s="427"/>
      <c r="E17" s="431">
        <f>'[6]НВВ 2020-2024'!$F$37</f>
        <v>14015.59</v>
      </c>
      <c r="F17" s="427"/>
      <c r="G17" s="431">
        <f>E17*'2020-2024'!E14</f>
        <v>15459.19577</v>
      </c>
      <c r="H17" s="429"/>
      <c r="I17" s="423"/>
      <c r="J17" s="423"/>
      <c r="K17" s="433"/>
      <c r="L17" s="434"/>
      <c r="M17" s="434"/>
      <c r="N17" s="434"/>
      <c r="O17" s="434"/>
    </row>
    <row r="18" spans="1:14" ht="24">
      <c r="A18" s="435" t="s">
        <v>678</v>
      </c>
      <c r="B18" s="437" t="s">
        <v>679</v>
      </c>
      <c r="C18" s="426">
        <f>'[4]передача ээ '!$V$13</f>
        <v>4906.55693000001</v>
      </c>
      <c r="D18" s="427"/>
      <c r="E18" s="431">
        <f>'[6]НВВ 2020-2024'!$F$23+'[6]НВВ 2020-2024'!$F$40</f>
        <v>6638.071129999999</v>
      </c>
      <c r="F18" s="427"/>
      <c r="G18" s="431">
        <f>E18*'2020-2024'!E14</f>
        <v>7321.792456389999</v>
      </c>
      <c r="H18" s="429"/>
      <c r="K18" s="433"/>
      <c r="L18" s="438"/>
      <c r="M18" s="438"/>
      <c r="N18" s="438"/>
    </row>
    <row r="19" spans="1:15" ht="24">
      <c r="A19" s="435" t="s">
        <v>204</v>
      </c>
      <c r="B19" s="425" t="s">
        <v>680</v>
      </c>
      <c r="C19" s="426"/>
      <c r="D19" s="427"/>
      <c r="E19" s="428"/>
      <c r="F19" s="427"/>
      <c r="G19" s="428"/>
      <c r="H19" s="429"/>
      <c r="K19" s="433"/>
      <c r="O19" s="434"/>
    </row>
    <row r="20" spans="1:15" ht="16.5">
      <c r="A20" s="435" t="s">
        <v>206</v>
      </c>
      <c r="B20" s="439" t="s">
        <v>681</v>
      </c>
      <c r="C20" s="426">
        <f>C21+C22+C23</f>
        <v>30489.26724</v>
      </c>
      <c r="D20" s="427"/>
      <c r="E20" s="431">
        <f>E21+E22+E23</f>
        <v>33890.86528</v>
      </c>
      <c r="F20" s="427"/>
      <c r="G20" s="431">
        <f>G21+G22+G23</f>
        <v>38211.56222272772</v>
      </c>
      <c r="H20" s="429"/>
      <c r="I20" s="423"/>
      <c r="J20" s="423"/>
      <c r="K20" s="433"/>
      <c r="L20" s="434"/>
      <c r="M20" s="434"/>
      <c r="N20" s="434"/>
      <c r="O20" s="434"/>
    </row>
    <row r="21" spans="1:14" ht="16.5">
      <c r="A21" s="435"/>
      <c r="B21" s="439" t="s">
        <v>682</v>
      </c>
      <c r="C21" s="426">
        <f>'[4]передача ээ '!$V$10</f>
        <v>22783.27183</v>
      </c>
      <c r="D21" s="427"/>
      <c r="E21" s="426">
        <f>'[6]НВВ 2020-2024'!$F$33</f>
        <v>24027.32</v>
      </c>
      <c r="F21" s="427"/>
      <c r="G21" s="426">
        <f>E21*'2020-2024'!E14</f>
        <v>26502.13396</v>
      </c>
      <c r="H21" s="429"/>
      <c r="I21" s="423"/>
      <c r="J21" s="423"/>
      <c r="K21" s="440"/>
      <c r="L21" s="438"/>
      <c r="M21" s="438"/>
      <c r="N21" s="438"/>
    </row>
    <row r="22" spans="1:8" ht="16.5">
      <c r="A22" s="435"/>
      <c r="B22" s="436" t="str">
        <f>B10</f>
        <v>Страховые выплаты с ФОТ</v>
      </c>
      <c r="C22" s="426">
        <f>6840.55847</f>
        <v>6840.55847</v>
      </c>
      <c r="D22" s="427"/>
      <c r="E22" s="431">
        <f>E21*0.304</f>
        <v>7304.30528</v>
      </c>
      <c r="F22" s="427"/>
      <c r="G22" s="426">
        <f>E22*'2020-2024'!E14</f>
        <v>8056.64872384</v>
      </c>
      <c r="H22" s="429"/>
    </row>
    <row r="23" spans="1:8" ht="16.5">
      <c r="A23" s="435"/>
      <c r="B23" s="436" t="s">
        <v>683</v>
      </c>
      <c r="C23" s="426">
        <f>'[4]передача ээ '!$V$24</f>
        <v>865.43694</v>
      </c>
      <c r="D23" s="427"/>
      <c r="E23" s="431">
        <f>'[6]НВВ 2020-2024'!$F$54+'[6]НВВ 2020-2024'!$F$55+'[6]НВВ 2020-2024'!$F$56+'[6]НВВ 2020-2024'!$F$63+'[6]НВВ 2020-2024'!$F$66+'[6]НВВ 2020-2024'!$F$67+'[6]НВВ 2020-2024'!$F$72+'[6]НВВ 2020-2024'!$F$77+'[6]НВВ 2020-2024'!$F$79</f>
        <v>2559.2400000000007</v>
      </c>
      <c r="F23" s="427"/>
      <c r="G23" s="431">
        <f>('[6]НВВ 2020-2024'!$F$54+'[6]НВВ 2020-2024'!$F$55+'[6]НВВ 2020-2024'!$F$56+'[6]НВВ 2020-2024'!$F$63+'[6]НВВ 2020-2024'!$F$66+'[6]НВВ 2020-2024'!$F$67)*'2020-2024'!E14+('неподконтрольные ээ'!H10+'неподконтрольные ээ'!H17+'неподконтрольные ээ'!H19+'неподконтрольные ээ'!H15)/1000</f>
        <v>3652.779538887721</v>
      </c>
      <c r="H23" s="429"/>
    </row>
    <row r="24" spans="1:8" ht="16.5">
      <c r="A24" s="435" t="s">
        <v>610</v>
      </c>
      <c r="B24" s="439" t="s">
        <v>684</v>
      </c>
      <c r="C24" s="426">
        <f>C35</f>
        <v>31045.788565646202</v>
      </c>
      <c r="D24" s="427"/>
      <c r="E24" s="431">
        <f>E35</f>
        <v>20887.74584</v>
      </c>
      <c r="F24" s="427"/>
      <c r="G24" s="431">
        <f>G35</f>
        <v>23039.183661519997</v>
      </c>
      <c r="H24" s="429"/>
    </row>
    <row r="25" spans="1:8" ht="16.5">
      <c r="A25" s="435" t="s">
        <v>685</v>
      </c>
      <c r="B25" s="425" t="s">
        <v>617</v>
      </c>
      <c r="C25" s="426"/>
      <c r="D25" s="427"/>
      <c r="E25" s="428"/>
      <c r="F25" s="427"/>
      <c r="G25" s="428"/>
      <c r="H25" s="429"/>
    </row>
    <row r="26" spans="1:8" ht="16.5">
      <c r="A26" s="435" t="s">
        <v>686</v>
      </c>
      <c r="B26" s="425" t="s">
        <v>687</v>
      </c>
      <c r="C26" s="426"/>
      <c r="D26" s="427"/>
      <c r="E26" s="428"/>
      <c r="F26" s="427"/>
      <c r="G26" s="428"/>
      <c r="H26" s="429"/>
    </row>
    <row r="27" spans="1:8" ht="24">
      <c r="A27" s="435" t="s">
        <v>688</v>
      </c>
      <c r="B27" s="425" t="s">
        <v>689</v>
      </c>
      <c r="C27" s="426"/>
      <c r="D27" s="427"/>
      <c r="E27" s="428"/>
      <c r="F27" s="427"/>
      <c r="G27" s="428"/>
      <c r="H27" s="429"/>
    </row>
    <row r="28" spans="1:8" ht="16.5">
      <c r="A28" s="435" t="s">
        <v>690</v>
      </c>
      <c r="B28" s="425" t="s">
        <v>691</v>
      </c>
      <c r="C28" s="426"/>
      <c r="D28" s="427"/>
      <c r="E28" s="428"/>
      <c r="F28" s="427"/>
      <c r="G28" s="428"/>
      <c r="H28" s="429"/>
    </row>
    <row r="29" spans="1:8" ht="24">
      <c r="A29" s="435" t="s">
        <v>692</v>
      </c>
      <c r="B29" s="425" t="s">
        <v>693</v>
      </c>
      <c r="C29" s="426"/>
      <c r="D29" s="427"/>
      <c r="E29" s="428"/>
      <c r="F29" s="427"/>
      <c r="G29" s="428"/>
      <c r="H29" s="429"/>
    </row>
    <row r="30" spans="1:8" ht="16.5">
      <c r="A30" s="435"/>
      <c r="B30" s="425" t="s">
        <v>694</v>
      </c>
      <c r="C30" s="426"/>
      <c r="D30" s="427"/>
      <c r="E30" s="428"/>
      <c r="F30" s="427"/>
      <c r="G30" s="428"/>
      <c r="H30" s="429"/>
    </row>
    <row r="31" spans="1:8" ht="16.5" customHeight="1" hidden="1" outlineLevel="1">
      <c r="A31" s="435"/>
      <c r="B31" s="439" t="s">
        <v>97</v>
      </c>
      <c r="C31" s="426"/>
      <c r="D31" s="427"/>
      <c r="E31" s="428"/>
      <c r="F31" s="427"/>
      <c r="G31" s="428"/>
      <c r="H31" s="429"/>
    </row>
    <row r="32" spans="1:8" ht="16.5" customHeight="1" hidden="1" outlineLevel="1">
      <c r="A32" s="435"/>
      <c r="B32" s="439" t="s">
        <v>512</v>
      </c>
      <c r="C32" s="426"/>
      <c r="D32" s="427"/>
      <c r="E32" s="428"/>
      <c r="F32" s="427"/>
      <c r="G32" s="428"/>
      <c r="H32" s="429"/>
    </row>
    <row r="33" spans="1:8" ht="16.5" customHeight="1" hidden="1" outlineLevel="1">
      <c r="A33" s="435"/>
      <c r="B33" s="439" t="s">
        <v>513</v>
      </c>
      <c r="C33" s="426"/>
      <c r="D33" s="427"/>
      <c r="E33" s="428"/>
      <c r="F33" s="427"/>
      <c r="G33" s="428"/>
      <c r="H33" s="429"/>
    </row>
    <row r="34" spans="1:8" ht="16.5" customHeight="1" hidden="1" outlineLevel="1">
      <c r="A34" s="435"/>
      <c r="B34" s="439" t="s">
        <v>39</v>
      </c>
      <c r="C34" s="426"/>
      <c r="D34" s="427"/>
      <c r="E34" s="428"/>
      <c r="F34" s="427"/>
      <c r="G34" s="428"/>
      <c r="H34" s="429"/>
    </row>
    <row r="35" spans="1:8" ht="24" collapsed="1">
      <c r="A35" s="435" t="s">
        <v>695</v>
      </c>
      <c r="B35" s="425" t="s">
        <v>696</v>
      </c>
      <c r="C35" s="426">
        <f>C39+C38+C37</f>
        <v>31045.788565646202</v>
      </c>
      <c r="D35" s="441"/>
      <c r="E35" s="431">
        <f>E37+E38+E39</f>
        <v>20887.74584</v>
      </c>
      <c r="F35" s="441"/>
      <c r="G35" s="431">
        <f>G37+G38+G39</f>
        <v>23039.183661519997</v>
      </c>
      <c r="H35" s="429"/>
    </row>
    <row r="36" spans="1:8" ht="16.5">
      <c r="A36" s="435" t="s">
        <v>697</v>
      </c>
      <c r="B36" s="437" t="s">
        <v>638</v>
      </c>
      <c r="C36" s="426"/>
      <c r="D36" s="427"/>
      <c r="E36" s="428"/>
      <c r="F36" s="427"/>
      <c r="G36" s="428"/>
      <c r="H36" s="429"/>
    </row>
    <row r="37" spans="1:9" ht="16.5">
      <c r="A37" s="435" t="s">
        <v>698</v>
      </c>
      <c r="B37" s="436" t="s">
        <v>699</v>
      </c>
      <c r="C37" s="426">
        <f>'[4]передача ээ '!$V$11</f>
        <v>17950.065935646206</v>
      </c>
      <c r="D37" s="427"/>
      <c r="E37" s="426">
        <f>'[6]НВВ 2020-2024'!$F$30</f>
        <v>16018.21</v>
      </c>
      <c r="F37" s="427"/>
      <c r="G37" s="426">
        <f>E37*'2020-2024'!E14</f>
        <v>17668.085629999998</v>
      </c>
      <c r="H37" s="429"/>
      <c r="I37" s="442"/>
    </row>
    <row r="38" spans="1:9" ht="16.5">
      <c r="A38" s="435" t="s">
        <v>700</v>
      </c>
      <c r="B38" s="436" t="str">
        <f>B22</f>
        <v>Страховые выплаты с ФОТ</v>
      </c>
      <c r="C38" s="426">
        <f>'[4]передача ээ '!$V$33</f>
        <v>5298.4173599999995</v>
      </c>
      <c r="D38" s="427"/>
      <c r="E38" s="431">
        <f>E37*0.304</f>
        <v>4869.53584</v>
      </c>
      <c r="F38" s="427"/>
      <c r="G38" s="426">
        <f>E38*'2020-2024'!E14</f>
        <v>5371.0980315199995</v>
      </c>
      <c r="H38" s="429"/>
      <c r="I38" s="442"/>
    </row>
    <row r="39" spans="1:8" ht="16.5">
      <c r="A39" s="435" t="s">
        <v>701</v>
      </c>
      <c r="B39" s="436" t="s">
        <v>683</v>
      </c>
      <c r="C39" s="426">
        <f>'[4]передача ээ '!$V$14</f>
        <v>7797.305269999999</v>
      </c>
      <c r="D39" s="427"/>
      <c r="E39" s="431"/>
      <c r="F39" s="441"/>
      <c r="G39" s="431"/>
      <c r="H39" s="429"/>
    </row>
    <row r="40" spans="1:9" ht="16.5">
      <c r="A40" s="435" t="s">
        <v>612</v>
      </c>
      <c r="B40" s="425" t="s">
        <v>702</v>
      </c>
      <c r="C40" s="431">
        <f>'[4]передача ээ '!$C$39</f>
        <v>17866.39</v>
      </c>
      <c r="D40" s="427"/>
      <c r="E40" s="431">
        <f>'[6]НВВ 2020-2024'!$F$94+'[6]НВВ 2020-2024'!$F$95</f>
        <v>8439.03</v>
      </c>
      <c r="F40" s="441"/>
      <c r="G40" s="431">
        <f>-'[4]передача ээ '!$AC$41</f>
        <v>27981.68918734046</v>
      </c>
      <c r="H40" s="429"/>
      <c r="I40" s="423"/>
    </row>
    <row r="41" spans="1:9" ht="24">
      <c r="A41" s="435" t="s">
        <v>614</v>
      </c>
      <c r="B41" s="425" t="s">
        <v>644</v>
      </c>
      <c r="C41" s="428"/>
      <c r="D41" s="427"/>
      <c r="E41" s="428"/>
      <c r="F41" s="427"/>
      <c r="G41" s="428"/>
      <c r="H41" s="429"/>
      <c r="I41" s="423"/>
    </row>
    <row r="42" spans="1:11" s="450" customFormat="1" ht="16.5">
      <c r="A42" s="443" t="s">
        <v>639</v>
      </c>
      <c r="B42" s="444" t="s">
        <v>703</v>
      </c>
      <c r="C42" s="445">
        <f>C8+C10+C11+C19+C20+C24+C40-C41</f>
        <v>137708.95244564622</v>
      </c>
      <c r="D42" s="446"/>
      <c r="E42" s="445">
        <f>E8+E10+E11+E19+E20+E24+E40-E41</f>
        <v>128642.18498</v>
      </c>
      <c r="F42" s="446"/>
      <c r="G42" s="445">
        <f>G11+G24+G8+G10+G40-G41+G20</f>
        <v>160742.23127742446</v>
      </c>
      <c r="H42" s="447"/>
      <c r="I42" s="448"/>
      <c r="J42" s="449"/>
      <c r="K42" s="448"/>
    </row>
    <row r="43" spans="1:8" ht="16.5" customHeight="1" hidden="1" outlineLevel="1">
      <c r="A43" s="435"/>
      <c r="B43" s="451" t="s">
        <v>647</v>
      </c>
      <c r="C43" s="445"/>
      <c r="D43" s="446"/>
      <c r="E43" s="445"/>
      <c r="F43" s="446"/>
      <c r="G43" s="445"/>
      <c r="H43" s="447"/>
    </row>
    <row r="44" spans="1:8" ht="16.5" customHeight="1" hidden="1" outlineLevel="1">
      <c r="A44" s="435"/>
      <c r="B44" s="439" t="s">
        <v>97</v>
      </c>
      <c r="C44" s="445"/>
      <c r="D44" s="446"/>
      <c r="E44" s="445"/>
      <c r="F44" s="446"/>
      <c r="G44" s="445"/>
      <c r="H44" s="447"/>
    </row>
    <row r="45" spans="1:8" ht="16.5" customHeight="1" hidden="1" outlineLevel="1">
      <c r="A45" s="435"/>
      <c r="B45" s="439" t="s">
        <v>512</v>
      </c>
      <c r="C45" s="445"/>
      <c r="D45" s="446"/>
      <c r="E45" s="445"/>
      <c r="F45" s="446"/>
      <c r="G45" s="445"/>
      <c r="H45" s="447"/>
    </row>
    <row r="46" spans="1:8" ht="16.5" customHeight="1" hidden="1" outlineLevel="1">
      <c r="A46" s="435"/>
      <c r="B46" s="439" t="s">
        <v>513</v>
      </c>
      <c r="C46" s="445"/>
      <c r="D46" s="446"/>
      <c r="E46" s="445"/>
      <c r="F46" s="446"/>
      <c r="G46" s="445"/>
      <c r="H46" s="447"/>
    </row>
    <row r="47" spans="1:8" ht="16.5" customHeight="1" hidden="1" outlineLevel="1">
      <c r="A47" s="435"/>
      <c r="B47" s="439" t="s">
        <v>39</v>
      </c>
      <c r="C47" s="445"/>
      <c r="D47" s="446"/>
      <c r="E47" s="445"/>
      <c r="F47" s="446"/>
      <c r="G47" s="445"/>
      <c r="H47" s="447"/>
    </row>
    <row r="48" spans="1:8" ht="16.5" collapsed="1">
      <c r="A48" s="435" t="s">
        <v>641</v>
      </c>
      <c r="B48" s="452" t="s">
        <v>704</v>
      </c>
      <c r="C48" s="431">
        <f>4!E27</f>
        <v>376.45</v>
      </c>
      <c r="D48" s="441"/>
      <c r="E48" s="431">
        <f>4!J27</f>
        <v>387.425</v>
      </c>
      <c r="F48" s="441"/>
      <c r="G48" s="431">
        <f>4!O27</f>
        <v>370.307</v>
      </c>
      <c r="H48" s="429"/>
    </row>
    <row r="49" spans="1:8" ht="16.5">
      <c r="A49" s="435" t="s">
        <v>643</v>
      </c>
      <c r="B49" s="453" t="s">
        <v>705</v>
      </c>
      <c r="C49" s="431">
        <f>C42/C48*1000</f>
        <v>365809.4101358646</v>
      </c>
      <c r="D49" s="446"/>
      <c r="E49" s="431">
        <f>E42/E48*1000</f>
        <v>332044.0988062206</v>
      </c>
      <c r="F49" s="446"/>
      <c r="G49" s="431">
        <f>G42/G48*1000</f>
        <v>434078.29524536256</v>
      </c>
      <c r="H49" s="447"/>
    </row>
    <row r="50" spans="1:8" ht="16.5">
      <c r="A50" s="435" t="s">
        <v>645</v>
      </c>
      <c r="B50" s="452" t="s">
        <v>706</v>
      </c>
      <c r="C50" s="431">
        <f>C42</f>
        <v>137708.95244564622</v>
      </c>
      <c r="D50" s="446"/>
      <c r="E50" s="431">
        <f>E42</f>
        <v>128642.18498</v>
      </c>
      <c r="F50" s="446"/>
      <c r="G50" s="431">
        <f>G42</f>
        <v>160742.23127742446</v>
      </c>
      <c r="H50" s="447"/>
    </row>
    <row r="51" spans="1:8" ht="16.5">
      <c r="A51" s="435" t="s">
        <v>648</v>
      </c>
      <c r="B51" s="453" t="s">
        <v>707</v>
      </c>
      <c r="C51" s="431">
        <f>C24</f>
        <v>31045.788565646202</v>
      </c>
      <c r="D51" s="446"/>
      <c r="E51" s="431">
        <f>E24</f>
        <v>20887.74584</v>
      </c>
      <c r="F51" s="446"/>
      <c r="G51" s="431">
        <f>G24</f>
        <v>23039.183661519997</v>
      </c>
      <c r="H51" s="447"/>
    </row>
    <row r="52" spans="1:8" ht="24.75" thickBot="1">
      <c r="A52" s="454" t="s">
        <v>708</v>
      </c>
      <c r="B52" s="455" t="str">
        <f>'[2]15 (ЭЭ)'!B27</f>
        <v>Оплата за услуги по организации функционирования и развитию ЕЭС России, ОДУ в электроэнергетике…</v>
      </c>
      <c r="C52" s="456"/>
      <c r="D52" s="457"/>
      <c r="E52" s="456"/>
      <c r="F52" s="457"/>
      <c r="G52" s="456"/>
      <c r="H52" s="458"/>
    </row>
    <row r="53" spans="2:4" ht="16.5">
      <c r="B53" s="459"/>
      <c r="C53" s="460"/>
      <c r="D53" s="459"/>
    </row>
    <row r="54" spans="1:8" ht="40.5" customHeight="1">
      <c r="A54" s="1100" t="str">
        <f>'[2]15 (ЭЭ)'!A52:B52</f>
        <v>Начальник ПЭО</v>
      </c>
      <c r="B54" s="1100"/>
      <c r="C54" s="460"/>
      <c r="D54" s="459"/>
      <c r="E54" s="1101" t="str">
        <f>'[2]15 (ЭЭ)'!C52</f>
        <v>М.С. Мироненко</v>
      </c>
      <c r="F54" s="1101"/>
      <c r="G54" s="1101"/>
      <c r="H54" s="1101"/>
    </row>
    <row r="55" spans="2:8" ht="16.5">
      <c r="B55" s="459"/>
      <c r="C55" s="461"/>
      <c r="D55" s="459"/>
      <c r="E55" s="423"/>
      <c r="F55" s="423"/>
      <c r="G55" s="423"/>
      <c r="H55" s="423"/>
    </row>
    <row r="56" spans="2:7" ht="16.5">
      <c r="B56" s="459"/>
      <c r="C56" s="461"/>
      <c r="D56" s="459"/>
      <c r="E56" s="423"/>
      <c r="G56" s="423"/>
    </row>
    <row r="57" spans="2:8" ht="16.5">
      <c r="B57" s="459"/>
      <c r="C57" s="461"/>
      <c r="D57" s="459"/>
      <c r="G57" s="423"/>
      <c r="H57" s="423"/>
    </row>
    <row r="58" spans="3:7" ht="16.5">
      <c r="C58" s="462"/>
      <c r="G58" s="423"/>
    </row>
  </sheetData>
  <sheetProtection/>
  <mergeCells count="9">
    <mergeCell ref="A54:B54"/>
    <mergeCell ref="E54:H54"/>
    <mergeCell ref="A2:H2"/>
    <mergeCell ref="A3:H3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2"/>
  <sheetViews>
    <sheetView zoomScalePageLayoutView="0" workbookViewId="0" topLeftCell="A10">
      <selection activeCell="E31" sqref="E31"/>
    </sheetView>
  </sheetViews>
  <sheetFormatPr defaultColWidth="9.00390625" defaultRowHeight="12.75" outlineLevelCol="1"/>
  <cols>
    <col min="1" max="1" width="8.00390625" style="362" customWidth="1"/>
    <col min="2" max="2" width="44.375" style="362" customWidth="1"/>
    <col min="3" max="3" width="11.375" style="362" customWidth="1"/>
    <col min="4" max="4" width="11.375" style="362" customWidth="1" outlineLevel="1"/>
    <col min="5" max="5" width="13.25390625" style="362" customWidth="1"/>
    <col min="6" max="16384" width="9.125" style="362" customWidth="1"/>
  </cols>
  <sheetData>
    <row r="1" ht="12.75">
      <c r="E1" s="361" t="s">
        <v>709</v>
      </c>
    </row>
    <row r="2" ht="12.75">
      <c r="E2" s="361"/>
    </row>
    <row r="3" ht="12.75">
      <c r="E3" s="361"/>
    </row>
    <row r="5" spans="1:5" ht="18.75">
      <c r="A5" s="1117" t="s">
        <v>100</v>
      </c>
      <c r="B5" s="1117"/>
      <c r="C5" s="1117"/>
      <c r="D5" s="1117"/>
      <c r="E5" s="1117"/>
    </row>
    <row r="6" spans="1:5" ht="18.75">
      <c r="A6" s="1117" t="s">
        <v>710</v>
      </c>
      <c r="B6" s="1117"/>
      <c r="C6" s="1117"/>
      <c r="D6" s="1117"/>
      <c r="E6" s="1117"/>
    </row>
    <row r="7" spans="1:5" ht="18.75" customHeight="1">
      <c r="A7" s="1118" t="str">
        <f>'[2]15 (ЭЭ)'!A4:E4</f>
        <v>ОАО "Электротехнический комплекс"</v>
      </c>
      <c r="B7" s="1118"/>
      <c r="C7" s="1118"/>
      <c r="D7" s="1118"/>
      <c r="E7" s="1118"/>
    </row>
    <row r="8" spans="2:5" ht="18.75">
      <c r="B8" s="363"/>
      <c r="C8" s="363"/>
      <c r="D8" s="363"/>
      <c r="E8" s="363"/>
    </row>
    <row r="9" ht="13.5" thickBot="1">
      <c r="E9" s="361" t="s">
        <v>505</v>
      </c>
    </row>
    <row r="10" spans="1:5" ht="12.75">
      <c r="A10" s="1119" t="s">
        <v>597</v>
      </c>
      <c r="B10" s="1121" t="s">
        <v>99</v>
      </c>
      <c r="C10" s="1090" t="s">
        <v>1232</v>
      </c>
      <c r="D10" s="1110" t="s">
        <v>1233</v>
      </c>
      <c r="E10" s="1112" t="s">
        <v>1248</v>
      </c>
    </row>
    <row r="11" spans="1:5" ht="12.75">
      <c r="A11" s="1120"/>
      <c r="B11" s="1122"/>
      <c r="C11" s="1091"/>
      <c r="D11" s="1111"/>
      <c r="E11" s="1113"/>
    </row>
    <row r="12" spans="1:5" ht="12.75">
      <c r="A12" s="1120"/>
      <c r="B12" s="1122"/>
      <c r="C12" s="1091"/>
      <c r="D12" s="1111"/>
      <c r="E12" s="1113"/>
    </row>
    <row r="13" spans="1:5" ht="12.75">
      <c r="A13" s="1120"/>
      <c r="B13" s="1122"/>
      <c r="C13" s="1091"/>
      <c r="D13" s="1111"/>
      <c r="E13" s="1113"/>
    </row>
    <row r="14" spans="1:5" ht="12.75">
      <c r="A14" s="1120"/>
      <c r="B14" s="1122"/>
      <c r="C14" s="1091"/>
      <c r="D14" s="1111"/>
      <c r="E14" s="1113"/>
    </row>
    <row r="15" spans="1:5" ht="13.5" thickBot="1">
      <c r="A15" s="463">
        <v>1</v>
      </c>
      <c r="B15" s="464">
        <v>2</v>
      </c>
      <c r="C15" s="465">
        <v>3</v>
      </c>
      <c r="D15" s="466">
        <v>4</v>
      </c>
      <c r="E15" s="467">
        <v>5</v>
      </c>
    </row>
    <row r="16" spans="1:5" ht="12.75">
      <c r="A16" s="468" t="s">
        <v>26</v>
      </c>
      <c r="B16" s="469" t="s">
        <v>711</v>
      </c>
      <c r="C16" s="470">
        <f>'[4]передача ээ '!$T$21+'[4]передача ээ '!$U$21</f>
        <v>2515.18518</v>
      </c>
      <c r="D16" s="471">
        <f>36119/1.2</f>
        <v>30099.166666666668</v>
      </c>
      <c r="E16" s="471">
        <f>36119/1.2</f>
        <v>30099.166666666668</v>
      </c>
    </row>
    <row r="17" spans="1:5" ht="12.75">
      <c r="A17" s="472"/>
      <c r="B17" s="473" t="s">
        <v>712</v>
      </c>
      <c r="C17" s="474"/>
      <c r="D17" s="475"/>
      <c r="E17" s="476"/>
    </row>
    <row r="18" spans="1:5" ht="12.75">
      <c r="A18" s="472"/>
      <c r="B18" s="477" t="s">
        <v>713</v>
      </c>
      <c r="C18" s="478">
        <f>C16</f>
        <v>2515.18518</v>
      </c>
      <c r="D18" s="479">
        <f>D16</f>
        <v>30099.166666666668</v>
      </c>
      <c r="E18" s="479">
        <f>E16</f>
        <v>30099.166666666668</v>
      </c>
    </row>
    <row r="19" spans="1:5" ht="12.75">
      <c r="A19" s="472"/>
      <c r="B19" s="477" t="s">
        <v>714</v>
      </c>
      <c r="C19" s="478"/>
      <c r="D19" s="479"/>
      <c r="E19" s="480"/>
    </row>
    <row r="20" spans="1:5" ht="12.75">
      <c r="A20" s="472" t="s">
        <v>27</v>
      </c>
      <c r="B20" s="477" t="s">
        <v>715</v>
      </c>
      <c r="C20" s="478">
        <f>C22</f>
        <v>2515.18518</v>
      </c>
      <c r="D20" s="479">
        <f>D22</f>
        <v>16762.66</v>
      </c>
      <c r="E20" s="480">
        <f>E22</f>
        <v>17430.67053813931</v>
      </c>
    </row>
    <row r="21" spans="1:5" ht="12.75">
      <c r="A21" s="472"/>
      <c r="B21" s="477" t="s">
        <v>716</v>
      </c>
      <c r="C21" s="478"/>
      <c r="D21" s="479"/>
      <c r="E21" s="480"/>
    </row>
    <row r="22" spans="1:5" ht="25.5">
      <c r="A22" s="373" t="s">
        <v>717</v>
      </c>
      <c r="B22" s="481" t="s">
        <v>718</v>
      </c>
      <c r="C22" s="478">
        <f>C18</f>
        <v>2515.18518</v>
      </c>
      <c r="D22" s="479">
        <v>16762.66</v>
      </c>
      <c r="E22" s="480">
        <f>('КЛЭП и ВЛЭП'!F210+'ВН, СН, НН'!F523+'аморт 25'!F15)/1000</f>
        <v>17430.67053813931</v>
      </c>
    </row>
    <row r="23" spans="1:5" ht="12.75">
      <c r="A23" s="472" t="s">
        <v>719</v>
      </c>
      <c r="B23" s="477" t="s">
        <v>720</v>
      </c>
      <c r="C23" s="478"/>
      <c r="D23" s="479"/>
      <c r="E23" s="480"/>
    </row>
    <row r="24" spans="1:5" ht="12.75">
      <c r="A24" s="472" t="s">
        <v>721</v>
      </c>
      <c r="B24" s="477" t="s">
        <v>722</v>
      </c>
      <c r="C24" s="478"/>
      <c r="D24" s="479"/>
      <c r="E24" s="480"/>
    </row>
    <row r="25" spans="1:5" ht="12.75">
      <c r="A25" s="472" t="s">
        <v>723</v>
      </c>
      <c r="B25" s="477" t="s">
        <v>724</v>
      </c>
      <c r="C25" s="478"/>
      <c r="D25" s="479"/>
      <c r="E25" s="480"/>
    </row>
    <row r="26" spans="1:5" ht="25.5">
      <c r="A26" s="472" t="s">
        <v>725</v>
      </c>
      <c r="B26" s="481" t="s">
        <v>726</v>
      </c>
      <c r="C26" s="478"/>
      <c r="D26" s="479"/>
      <c r="E26" s="480"/>
    </row>
    <row r="27" spans="1:5" ht="12.75">
      <c r="A27" s="472" t="s">
        <v>727</v>
      </c>
      <c r="B27" s="477" t="s">
        <v>728</v>
      </c>
      <c r="C27" s="478"/>
      <c r="D27" s="479"/>
      <c r="E27" s="480"/>
    </row>
    <row r="28" spans="1:5" ht="12.75">
      <c r="A28" s="472" t="s">
        <v>729</v>
      </c>
      <c r="B28" s="477" t="s">
        <v>730</v>
      </c>
      <c r="C28" s="478"/>
      <c r="D28" s="479"/>
      <c r="E28" s="480"/>
    </row>
    <row r="29" spans="1:5" ht="12.75">
      <c r="A29" s="472" t="s">
        <v>731</v>
      </c>
      <c r="B29" s="477" t="s">
        <v>732</v>
      </c>
      <c r="C29" s="478"/>
      <c r="D29" s="479"/>
      <c r="E29" s="480"/>
    </row>
    <row r="30" spans="1:5" ht="12.75">
      <c r="A30" s="472" t="s">
        <v>733</v>
      </c>
      <c r="B30" s="477" t="s">
        <v>734</v>
      </c>
      <c r="C30" s="478">
        <f>C22</f>
        <v>2515.18518</v>
      </c>
      <c r="D30" s="479">
        <f>D22</f>
        <v>16762.66</v>
      </c>
      <c r="E30" s="480">
        <f>E22</f>
        <v>17430.67053813931</v>
      </c>
    </row>
    <row r="31" spans="1:5" ht="12.75">
      <c r="A31" s="472" t="s">
        <v>735</v>
      </c>
      <c r="B31" s="477" t="s">
        <v>736</v>
      </c>
      <c r="C31" s="478">
        <f>C16-C30</f>
        <v>0</v>
      </c>
      <c r="D31" s="479">
        <f>D16-D30</f>
        <v>13336.506666666668</v>
      </c>
      <c r="E31" s="480">
        <f>E16-E30</f>
        <v>12668.496128527357</v>
      </c>
    </row>
    <row r="32" spans="1:5" ht="12.75">
      <c r="A32" s="472"/>
      <c r="B32" s="477" t="s">
        <v>737</v>
      </c>
      <c r="C32" s="478"/>
      <c r="D32" s="479"/>
      <c r="E32" s="480"/>
    </row>
    <row r="33" spans="1:5" ht="12.75">
      <c r="A33" s="472"/>
      <c r="B33" s="477" t="s">
        <v>738</v>
      </c>
      <c r="C33" s="478">
        <f>C31</f>
        <v>0</v>
      </c>
      <c r="D33" s="479">
        <f>D31</f>
        <v>13336.506666666668</v>
      </c>
      <c r="E33" s="480">
        <f>E31</f>
        <v>12668.496128527357</v>
      </c>
    </row>
    <row r="34" spans="1:5" ht="12.75">
      <c r="A34" s="472"/>
      <c r="B34" s="477" t="s">
        <v>739</v>
      </c>
      <c r="C34" s="482"/>
      <c r="D34" s="483"/>
      <c r="E34" s="484"/>
    </row>
    <row r="35" spans="1:5" ht="13.5" thickBot="1">
      <c r="A35" s="485"/>
      <c r="B35" s="486" t="s">
        <v>740</v>
      </c>
      <c r="C35" s="487"/>
      <c r="D35" s="488"/>
      <c r="E35" s="489"/>
    </row>
    <row r="38" spans="1:5" ht="18.75">
      <c r="A38" s="1114" t="str">
        <f>'[2]18.2'!A54</f>
        <v>Начальник ПЭО</v>
      </c>
      <c r="B38" s="1114"/>
      <c r="C38" s="1115" t="str">
        <f>'[2]18.2'!E54</f>
        <v>М.С. Мироненко</v>
      </c>
      <c r="D38" s="1115"/>
      <c r="E38" s="1115"/>
    </row>
    <row r="40" spans="2:5" ht="15">
      <c r="B40" s="490"/>
      <c r="C40" s="490"/>
      <c r="D40" s="490"/>
      <c r="E40" s="490"/>
    </row>
    <row r="42" spans="2:5" ht="18.75">
      <c r="B42" s="1116" t="s">
        <v>741</v>
      </c>
      <c r="C42" s="1116"/>
      <c r="D42" s="1116"/>
      <c r="E42" s="1116"/>
    </row>
  </sheetData>
  <sheetProtection/>
  <mergeCells count="11">
    <mergeCell ref="C10:C14"/>
    <mergeCell ref="D10:D14"/>
    <mergeCell ref="E10:E14"/>
    <mergeCell ref="A38:B38"/>
    <mergeCell ref="C38:E38"/>
    <mergeCell ref="B42:E42"/>
    <mergeCell ref="A5:E5"/>
    <mergeCell ref="A6:E6"/>
    <mergeCell ref="A7:E7"/>
    <mergeCell ref="A10:A14"/>
    <mergeCell ref="B10:B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PageLayoutView="0" workbookViewId="0" topLeftCell="A1">
      <selection activeCell="L10" sqref="L10"/>
    </sheetView>
  </sheetViews>
  <sheetFormatPr defaultColWidth="8.00390625" defaultRowHeight="12.75" outlineLevelRow="1"/>
  <cols>
    <col min="1" max="1" width="65.00390625" style="493" customWidth="1"/>
    <col min="2" max="2" width="12.125" style="493" customWidth="1"/>
    <col min="3" max="3" width="11.875" style="493" customWidth="1"/>
    <col min="4" max="4" width="11.00390625" style="493" customWidth="1"/>
    <col min="5" max="5" width="9.75390625" style="493" customWidth="1"/>
    <col min="6" max="6" width="13.375" style="493" customWidth="1"/>
    <col min="7" max="7" width="12.375" style="493" customWidth="1"/>
    <col min="8" max="16384" width="8.00390625" style="493" customWidth="1"/>
  </cols>
  <sheetData>
    <row r="1" spans="1:7" ht="12.75">
      <c r="A1" s="491"/>
      <c r="B1" s="491"/>
      <c r="C1" s="491"/>
      <c r="D1" s="492"/>
      <c r="E1" s="492"/>
      <c r="F1" s="1127" t="s">
        <v>742</v>
      </c>
      <c r="G1" s="1128"/>
    </row>
    <row r="2" spans="1:7" ht="12.75">
      <c r="A2" s="491"/>
      <c r="B2" s="491"/>
      <c r="C2" s="491"/>
      <c r="D2" s="494"/>
      <c r="E2" s="492"/>
      <c r="F2" s="492"/>
      <c r="G2" s="492"/>
    </row>
    <row r="3" spans="1:7" ht="54.75" customHeight="1">
      <c r="A3" s="1129" t="s">
        <v>743</v>
      </c>
      <c r="B3" s="1129"/>
      <c r="C3" s="1129"/>
      <c r="D3" s="1129"/>
      <c r="E3" s="1129"/>
      <c r="F3" s="1129"/>
      <c r="G3" s="1129"/>
    </row>
    <row r="4" spans="1:7" ht="18.75">
      <c r="A4" s="1130" t="str">
        <f>'[2]20'!A7:E7</f>
        <v>ОАО "Электротехнический комплекс"</v>
      </c>
      <c r="B4" s="1130"/>
      <c r="C4" s="1130"/>
      <c r="D4" s="1130"/>
      <c r="E4" s="1130"/>
      <c r="F4" s="1130"/>
      <c r="G4" s="1130"/>
    </row>
    <row r="5" spans="1:7" ht="18.75">
      <c r="A5" s="1131"/>
      <c r="B5" s="1131"/>
      <c r="C5" s="1131"/>
      <c r="D5" s="1131"/>
      <c r="E5" s="492"/>
      <c r="F5" s="492"/>
      <c r="G5" s="492"/>
    </row>
    <row r="6" spans="1:7" ht="13.5" thickBot="1">
      <c r="A6" s="491"/>
      <c r="B6" s="491"/>
      <c r="C6" s="491"/>
      <c r="D6" s="492"/>
      <c r="E6" s="492"/>
      <c r="F6" s="492"/>
      <c r="G6" s="494" t="s">
        <v>505</v>
      </c>
    </row>
    <row r="7" spans="1:7" ht="12.75">
      <c r="A7" s="1132" t="s">
        <v>744</v>
      </c>
      <c r="B7" s="1090" t="s">
        <v>745</v>
      </c>
      <c r="C7" s="1110" t="s">
        <v>746</v>
      </c>
      <c r="D7" s="1110"/>
      <c r="E7" s="1110" t="s">
        <v>747</v>
      </c>
      <c r="F7" s="1110" t="s">
        <v>748</v>
      </c>
      <c r="G7" s="1112" t="s">
        <v>749</v>
      </c>
    </row>
    <row r="8" spans="1:7" ht="12.75">
      <c r="A8" s="1133"/>
      <c r="B8" s="1091"/>
      <c r="C8" s="1111"/>
      <c r="D8" s="1111"/>
      <c r="E8" s="1111"/>
      <c r="F8" s="1111"/>
      <c r="G8" s="1113"/>
    </row>
    <row r="9" spans="1:7" ht="12.75">
      <c r="A9" s="1133"/>
      <c r="B9" s="1091"/>
      <c r="C9" s="1111"/>
      <c r="D9" s="1111"/>
      <c r="E9" s="1111"/>
      <c r="F9" s="1111"/>
      <c r="G9" s="1113"/>
    </row>
    <row r="10" spans="1:7" ht="12.75">
      <c r="A10" s="1133"/>
      <c r="B10" s="1091"/>
      <c r="C10" s="1111" t="s">
        <v>750</v>
      </c>
      <c r="D10" s="1111" t="s">
        <v>751</v>
      </c>
      <c r="E10" s="1111"/>
      <c r="F10" s="1111"/>
      <c r="G10" s="1113"/>
    </row>
    <row r="11" spans="1:7" ht="12.75">
      <c r="A11" s="1133"/>
      <c r="B11" s="1091"/>
      <c r="C11" s="1111"/>
      <c r="D11" s="1111"/>
      <c r="E11" s="1111"/>
      <c r="F11" s="1111"/>
      <c r="G11" s="1113"/>
    </row>
    <row r="12" spans="1:7" ht="13.5" thickBot="1">
      <c r="A12" s="496">
        <v>1</v>
      </c>
      <c r="B12" s="465">
        <v>2</v>
      </c>
      <c r="C12" s="466">
        <v>3</v>
      </c>
      <c r="D12" s="466">
        <v>4</v>
      </c>
      <c r="E12" s="497">
        <v>5</v>
      </c>
      <c r="F12" s="497">
        <v>6</v>
      </c>
      <c r="G12" s="498">
        <v>7</v>
      </c>
    </row>
    <row r="13" spans="1:7" ht="12.75">
      <c r="A13" s="499" t="s">
        <v>25</v>
      </c>
      <c r="B13" s="500">
        <f>36119/1.2</f>
        <v>30099.166666666668</v>
      </c>
      <c r="C13" s="501">
        <f>'20'!C16</f>
        <v>2515.18518</v>
      </c>
      <c r="D13" s="501">
        <f>C13</f>
        <v>2515.18518</v>
      </c>
      <c r="E13" s="502">
        <f>B13-D13</f>
        <v>27583.981486666667</v>
      </c>
      <c r="F13" s="503">
        <f>'20'!E16</f>
        <v>30099.166666666668</v>
      </c>
      <c r="G13" s="504"/>
    </row>
    <row r="14" spans="1:7" ht="12.75" hidden="1" outlineLevel="1">
      <c r="A14" s="505" t="s">
        <v>567</v>
      </c>
      <c r="B14" s="506"/>
      <c r="C14" s="475"/>
      <c r="D14" s="475"/>
      <c r="E14" s="507"/>
      <c r="F14" s="507"/>
      <c r="G14" s="508"/>
    </row>
    <row r="15" spans="1:7" ht="12.75" hidden="1" outlineLevel="1">
      <c r="A15" s="509" t="s">
        <v>752</v>
      </c>
      <c r="B15" s="506"/>
      <c r="C15" s="475">
        <v>517.28814</v>
      </c>
      <c r="D15" s="475">
        <f>C15</f>
        <v>517.28814</v>
      </c>
      <c r="E15" s="507"/>
      <c r="F15" s="507"/>
      <c r="G15" s="508" t="s">
        <v>753</v>
      </c>
    </row>
    <row r="16" spans="1:7" ht="12.75" hidden="1" outlineLevel="1">
      <c r="A16" s="509" t="s">
        <v>754</v>
      </c>
      <c r="B16" s="506"/>
      <c r="C16" s="475">
        <v>298.47458</v>
      </c>
      <c r="D16" s="475">
        <f aca="true" t="shared" si="0" ref="D16:D24">C16</f>
        <v>298.47458</v>
      </c>
      <c r="E16" s="507"/>
      <c r="F16" s="507"/>
      <c r="G16" s="508" t="s">
        <v>753</v>
      </c>
    </row>
    <row r="17" spans="1:7" ht="12.75" hidden="1" outlineLevel="1">
      <c r="A17" s="509" t="s">
        <v>755</v>
      </c>
      <c r="B17" s="506"/>
      <c r="C17" s="475">
        <v>30.055</v>
      </c>
      <c r="D17" s="475">
        <f t="shared" si="0"/>
        <v>30.055</v>
      </c>
      <c r="E17" s="507"/>
      <c r="F17" s="507"/>
      <c r="G17" s="508" t="s">
        <v>753</v>
      </c>
    </row>
    <row r="18" spans="1:7" ht="12.75" hidden="1" outlineLevel="1">
      <c r="A18" s="509" t="s">
        <v>756</v>
      </c>
      <c r="B18" s="506"/>
      <c r="C18" s="475">
        <v>180.433</v>
      </c>
      <c r="D18" s="475">
        <f t="shared" si="0"/>
        <v>180.433</v>
      </c>
      <c r="E18" s="507"/>
      <c r="F18" s="507"/>
      <c r="G18" s="508" t="s">
        <v>753</v>
      </c>
    </row>
    <row r="19" spans="1:7" ht="12.75" hidden="1" outlineLevel="1">
      <c r="A19" s="509" t="s">
        <v>757</v>
      </c>
      <c r="B19" s="506"/>
      <c r="C19" s="475">
        <v>67.79661</v>
      </c>
      <c r="D19" s="475">
        <f t="shared" si="0"/>
        <v>67.79661</v>
      </c>
      <c r="E19" s="507"/>
      <c r="F19" s="507"/>
      <c r="G19" s="508" t="s">
        <v>753</v>
      </c>
    </row>
    <row r="20" spans="1:7" ht="12.75" hidden="1" outlineLevel="1">
      <c r="A20" s="510"/>
      <c r="B20" s="511"/>
      <c r="C20" s="512"/>
      <c r="D20" s="475">
        <f t="shared" si="0"/>
        <v>0</v>
      </c>
      <c r="E20" s="513"/>
      <c r="F20" s="513"/>
      <c r="G20" s="508" t="s">
        <v>753</v>
      </c>
    </row>
    <row r="21" spans="1:7" ht="12.75" hidden="1" outlineLevel="1">
      <c r="A21" s="510" t="s">
        <v>758</v>
      </c>
      <c r="B21" s="511"/>
      <c r="C21" s="512">
        <v>170.30748</v>
      </c>
      <c r="D21" s="475">
        <f t="shared" si="0"/>
        <v>170.30748</v>
      </c>
      <c r="E21" s="513"/>
      <c r="F21" s="513"/>
      <c r="G21" s="508" t="s">
        <v>753</v>
      </c>
    </row>
    <row r="22" spans="1:7" ht="12.75" hidden="1" outlineLevel="1">
      <c r="A22" s="510" t="s">
        <v>759</v>
      </c>
      <c r="B22" s="511"/>
      <c r="C22" s="512">
        <v>97.20025</v>
      </c>
      <c r="D22" s="475">
        <f t="shared" si="0"/>
        <v>97.20025</v>
      </c>
      <c r="E22" s="513"/>
      <c r="F22" s="513"/>
      <c r="G22" s="508" t="str">
        <f>G21</f>
        <v>Прибыль</v>
      </c>
    </row>
    <row r="23" spans="1:7" ht="12.75" hidden="1" outlineLevel="1">
      <c r="A23" s="510" t="s">
        <v>760</v>
      </c>
      <c r="B23" s="511"/>
      <c r="C23" s="512">
        <v>97.20024000000001</v>
      </c>
      <c r="D23" s="475">
        <f t="shared" si="0"/>
        <v>97.20024000000001</v>
      </c>
      <c r="E23" s="513"/>
      <c r="F23" s="513"/>
      <c r="G23" s="508" t="str">
        <f>G22</f>
        <v>Прибыль</v>
      </c>
    </row>
    <row r="24" spans="1:7" ht="12.75" hidden="1" outlineLevel="1">
      <c r="A24" s="510" t="s">
        <v>761</v>
      </c>
      <c r="B24" s="511"/>
      <c r="C24" s="512">
        <v>97.20025</v>
      </c>
      <c r="D24" s="475">
        <f t="shared" si="0"/>
        <v>97.20025</v>
      </c>
      <c r="E24" s="513"/>
      <c r="F24" s="513"/>
      <c r="G24" s="508" t="str">
        <f>G23</f>
        <v>Прибыль</v>
      </c>
    </row>
    <row r="25" spans="1:7" ht="12.75" hidden="1" collapsed="1">
      <c r="A25" s="510"/>
      <c r="B25" s="511"/>
      <c r="C25" s="512"/>
      <c r="D25" s="512"/>
      <c r="E25" s="513"/>
      <c r="F25" s="513"/>
      <c r="G25" s="508" t="str">
        <f>G24</f>
        <v>Прибыль</v>
      </c>
    </row>
    <row r="26" spans="1:7" ht="12.75">
      <c r="A26" s="1123" t="s">
        <v>762</v>
      </c>
      <c r="B26" s="511"/>
      <c r="C26" s="514">
        <f>C13</f>
        <v>2515.18518</v>
      </c>
      <c r="D26" s="512"/>
      <c r="E26" s="513"/>
      <c r="F26" s="513">
        <f>'20'!E31</f>
        <v>12668.496128527357</v>
      </c>
      <c r="G26" s="515" t="str">
        <f>G25</f>
        <v>Прибыль</v>
      </c>
    </row>
    <row r="27" spans="1:7" ht="13.5" thickBot="1">
      <c r="A27" s="1124"/>
      <c r="B27" s="516"/>
      <c r="C27" s="517">
        <f>C13-C26</f>
        <v>0</v>
      </c>
      <c r="D27" s="518"/>
      <c r="E27" s="519"/>
      <c r="F27" s="520">
        <f>'20'!E22</f>
        <v>17430.67053813931</v>
      </c>
      <c r="G27" s="521" t="s">
        <v>509</v>
      </c>
    </row>
    <row r="28" ht="12.75">
      <c r="G28" s="522"/>
    </row>
    <row r="30" spans="1:7" ht="18.75">
      <c r="A30" s="1125" t="str">
        <f>'[2]20'!A38:B38</f>
        <v>Начальник ПЭО</v>
      </c>
      <c r="B30" s="1125"/>
      <c r="C30" s="1125"/>
      <c r="D30" s="1126" t="str">
        <f>'[2]20'!C38</f>
        <v>М.С. Мироненко</v>
      </c>
      <c r="E30" s="1125"/>
      <c r="F30" s="1125"/>
      <c r="G30" s="1125"/>
    </row>
  </sheetData>
  <sheetProtection/>
  <mergeCells count="15">
    <mergeCell ref="F1:G1"/>
    <mergeCell ref="A3:G3"/>
    <mergeCell ref="A4:G4"/>
    <mergeCell ref="A5:D5"/>
    <mergeCell ref="A7:A11"/>
    <mergeCell ref="B7:B11"/>
    <mergeCell ref="C7:D9"/>
    <mergeCell ref="E7:E11"/>
    <mergeCell ref="F7:F11"/>
    <mergeCell ref="G7:G11"/>
    <mergeCell ref="C10:C11"/>
    <mergeCell ref="D10:D11"/>
    <mergeCell ref="A26:A27"/>
    <mergeCell ref="A30:C30"/>
    <mergeCell ref="D30:G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zoomScalePageLayoutView="0" workbookViewId="0" topLeftCell="A7">
      <selection activeCell="F26" sqref="F26"/>
    </sheetView>
  </sheetViews>
  <sheetFormatPr defaultColWidth="8.00390625" defaultRowHeight="12.75" outlineLevelRow="1" outlineLevelCol="1"/>
  <cols>
    <col min="1" max="1" width="5.00390625" style="493" customWidth="1"/>
    <col min="2" max="2" width="37.125" style="493" customWidth="1"/>
    <col min="3" max="3" width="9.625" style="493" bestFit="1" customWidth="1"/>
    <col min="4" max="4" width="6.875" style="493" customWidth="1"/>
    <col min="5" max="5" width="7.875" style="493" bestFit="1" customWidth="1" outlineLevel="1"/>
    <col min="6" max="6" width="6.875" style="493" customWidth="1" outlineLevel="1"/>
    <col min="7" max="7" width="8.875" style="493" bestFit="1" customWidth="1"/>
    <col min="8" max="8" width="7.375" style="493" customWidth="1"/>
    <col min="9" max="9" width="10.75390625" style="493" customWidth="1"/>
    <col min="10" max="16384" width="8.00390625" style="493" customWidth="1"/>
  </cols>
  <sheetData>
    <row r="1" spans="1:8" ht="12.75">
      <c r="A1" s="491"/>
      <c r="B1" s="491"/>
      <c r="C1" s="491"/>
      <c r="D1" s="491"/>
      <c r="E1" s="1143" t="s">
        <v>763</v>
      </c>
      <c r="F1" s="1143"/>
      <c r="G1" s="1143"/>
      <c r="H1" s="1143"/>
    </row>
    <row r="2" spans="1:8" ht="15" customHeight="1">
      <c r="A2" s="1144" t="s">
        <v>764</v>
      </c>
      <c r="B2" s="1144"/>
      <c r="C2" s="1144"/>
      <c r="D2" s="1144"/>
      <c r="E2" s="1144"/>
      <c r="F2" s="1144"/>
      <c r="G2" s="1144"/>
      <c r="H2" s="1144"/>
    </row>
    <row r="3" spans="1:8" ht="15" customHeight="1">
      <c r="A3" s="1144" t="s">
        <v>765</v>
      </c>
      <c r="B3" s="1144"/>
      <c r="C3" s="1144"/>
      <c r="D3" s="1144"/>
      <c r="E3" s="1144"/>
      <c r="F3" s="1144"/>
      <c r="G3" s="1144"/>
      <c r="H3" s="1144"/>
    </row>
    <row r="4" spans="1:8" ht="15" customHeight="1">
      <c r="A4" s="1144" t="s">
        <v>766</v>
      </c>
      <c r="B4" s="1144"/>
      <c r="C4" s="1144"/>
      <c r="D4" s="1144"/>
      <c r="E4" s="1144"/>
      <c r="F4" s="1144"/>
      <c r="G4" s="1144"/>
      <c r="H4" s="1144"/>
    </row>
    <row r="5" spans="1:8" ht="15" customHeight="1">
      <c r="A5" s="1130" t="str">
        <f>'[2]18.2'!A3:H3</f>
        <v>по сетям ОАО "Электротехнический комплекс"</v>
      </c>
      <c r="B5" s="1130"/>
      <c r="C5" s="1130"/>
      <c r="D5" s="1130"/>
      <c r="E5" s="1130"/>
      <c r="F5" s="1130"/>
      <c r="G5" s="1130"/>
      <c r="H5" s="1130"/>
    </row>
    <row r="6" spans="1:8" ht="15" customHeight="1">
      <c r="A6" s="495"/>
      <c r="B6" s="495"/>
      <c r="C6" s="495"/>
      <c r="D6" s="495"/>
      <c r="E6" s="495"/>
      <c r="F6" s="495"/>
      <c r="G6" s="495"/>
      <c r="H6" s="495"/>
    </row>
    <row r="7" spans="1:8" ht="13.5" thickBot="1">
      <c r="A7" s="491"/>
      <c r="B7" s="491"/>
      <c r="C7" s="491"/>
      <c r="D7" s="491"/>
      <c r="E7" s="491"/>
      <c r="F7" s="491"/>
      <c r="G7" s="1145" t="s">
        <v>505</v>
      </c>
      <c r="H7" s="1145"/>
    </row>
    <row r="8" spans="1:8" ht="40.5" customHeight="1">
      <c r="A8" s="1090" t="s">
        <v>597</v>
      </c>
      <c r="B8" s="1138" t="s">
        <v>99</v>
      </c>
      <c r="C8" s="1104" t="s">
        <v>1232</v>
      </c>
      <c r="D8" s="1140"/>
      <c r="E8" s="1104" t="s">
        <v>1233</v>
      </c>
      <c r="F8" s="1140"/>
      <c r="G8" s="1104" t="s">
        <v>1248</v>
      </c>
      <c r="H8" s="1141"/>
    </row>
    <row r="9" spans="1:8" ht="38.25">
      <c r="A9" s="1091"/>
      <c r="B9" s="1139"/>
      <c r="C9" s="365" t="s">
        <v>551</v>
      </c>
      <c r="D9" s="524" t="s">
        <v>767</v>
      </c>
      <c r="E9" s="524" t="s">
        <v>551</v>
      </c>
      <c r="F9" s="408" t="s">
        <v>768</v>
      </c>
      <c r="G9" s="365" t="s">
        <v>551</v>
      </c>
      <c r="H9" s="406" t="s">
        <v>769</v>
      </c>
    </row>
    <row r="10" spans="1:8" ht="12.75" hidden="1">
      <c r="A10" s="1091"/>
      <c r="B10" s="1139"/>
      <c r="C10" s="525">
        <v>3</v>
      </c>
      <c r="D10" s="526">
        <v>4</v>
      </c>
      <c r="E10" s="526">
        <v>3</v>
      </c>
      <c r="F10" s="527">
        <v>4</v>
      </c>
      <c r="G10" s="525">
        <v>5</v>
      </c>
      <c r="H10" s="528">
        <v>6</v>
      </c>
    </row>
    <row r="11" spans="1:8" ht="13.5" thickBot="1">
      <c r="A11" s="529">
        <v>1</v>
      </c>
      <c r="B11" s="530">
        <v>2</v>
      </c>
      <c r="C11" s="531">
        <v>3</v>
      </c>
      <c r="D11" s="532">
        <v>4</v>
      </c>
      <c r="E11" s="532">
        <v>5</v>
      </c>
      <c r="F11" s="530">
        <v>6</v>
      </c>
      <c r="G11" s="531">
        <v>7</v>
      </c>
      <c r="H11" s="533">
        <v>8</v>
      </c>
    </row>
    <row r="12" spans="1:8" ht="12.75">
      <c r="A12" s="1142" t="s">
        <v>26</v>
      </c>
      <c r="B12" s="534" t="s">
        <v>770</v>
      </c>
      <c r="C12" s="470">
        <f>C14</f>
        <v>0</v>
      </c>
      <c r="D12" s="535"/>
      <c r="E12" s="471">
        <f>E14</f>
        <v>13336.34</v>
      </c>
      <c r="F12" s="536"/>
      <c r="G12" s="470">
        <f>G14</f>
        <v>12668.496128527357</v>
      </c>
      <c r="H12" s="537"/>
    </row>
    <row r="13" spans="1:8" ht="12.75">
      <c r="A13" s="1134"/>
      <c r="B13" s="538" t="s">
        <v>712</v>
      </c>
      <c r="C13" s="474"/>
      <c r="D13" s="539"/>
      <c r="E13" s="540"/>
      <c r="F13" s="541"/>
      <c r="G13" s="474"/>
      <c r="H13" s="542"/>
    </row>
    <row r="14" spans="1:8" ht="12.75">
      <c r="A14" s="1134"/>
      <c r="B14" s="481" t="s">
        <v>771</v>
      </c>
      <c r="C14" s="478"/>
      <c r="D14" s="483"/>
      <c r="E14" s="543">
        <f>'[6]НВВ 2020-2024'!$F$88</f>
        <v>13336.34</v>
      </c>
      <c r="F14" s="544"/>
      <c r="G14" s="478">
        <f>36119/1.2-('КЛЭП и ВЛЭП'!F210+'ВН, СН, НН'!F523+'аморт 25'!F15)/1000</f>
        <v>12668.496128527357</v>
      </c>
      <c r="H14" s="545"/>
    </row>
    <row r="15" spans="1:8" ht="12.75" customHeight="1" hidden="1" outlineLevel="1">
      <c r="A15" s="359"/>
      <c r="B15" s="481" t="s">
        <v>97</v>
      </c>
      <c r="C15" s="478"/>
      <c r="D15" s="483"/>
      <c r="E15" s="543"/>
      <c r="F15" s="544"/>
      <c r="G15" s="478"/>
      <c r="H15" s="545"/>
    </row>
    <row r="16" spans="1:8" ht="12.75" customHeight="1" hidden="1" outlineLevel="1">
      <c r="A16" s="359"/>
      <c r="B16" s="481" t="s">
        <v>512</v>
      </c>
      <c r="C16" s="478"/>
      <c r="D16" s="483"/>
      <c r="E16" s="543"/>
      <c r="F16" s="544"/>
      <c r="G16" s="478"/>
      <c r="H16" s="545"/>
    </row>
    <row r="17" spans="1:8" ht="12.75" customHeight="1" hidden="1" outlineLevel="1">
      <c r="A17" s="359"/>
      <c r="B17" s="481" t="s">
        <v>513</v>
      </c>
      <c r="C17" s="478"/>
      <c r="D17" s="483"/>
      <c r="E17" s="543"/>
      <c r="F17" s="544"/>
      <c r="G17" s="478"/>
      <c r="H17" s="545"/>
    </row>
    <row r="18" spans="1:8" ht="12.75" hidden="1" outlineLevel="1">
      <c r="A18" s="359"/>
      <c r="B18" s="481" t="s">
        <v>39</v>
      </c>
      <c r="C18" s="478"/>
      <c r="D18" s="483"/>
      <c r="E18" s="543"/>
      <c r="F18" s="544"/>
      <c r="G18" s="478"/>
      <c r="H18" s="545"/>
    </row>
    <row r="19" spans="1:8" ht="12.75" collapsed="1">
      <c r="A19" s="1134" t="s">
        <v>27</v>
      </c>
      <c r="B19" s="481" t="s">
        <v>772</v>
      </c>
      <c r="C19" s="478">
        <f>'[4]передача ээ '!$V$16</f>
        <v>15.57967</v>
      </c>
      <c r="D19" s="483"/>
      <c r="E19" s="543"/>
      <c r="F19" s="544"/>
      <c r="G19" s="478"/>
      <c r="H19" s="545"/>
    </row>
    <row r="20" spans="1:8" ht="12.75">
      <c r="A20" s="1134"/>
      <c r="B20" s="538" t="s">
        <v>712</v>
      </c>
      <c r="C20" s="474"/>
      <c r="D20" s="539"/>
      <c r="E20" s="540"/>
      <c r="F20" s="541"/>
      <c r="G20" s="546"/>
      <c r="H20" s="542"/>
    </row>
    <row r="21" spans="1:8" ht="12.75">
      <c r="A21" s="1134"/>
      <c r="B21" s="481" t="s">
        <v>771</v>
      </c>
      <c r="C21" s="478"/>
      <c r="D21" s="483"/>
      <c r="E21" s="543"/>
      <c r="F21" s="544"/>
      <c r="G21" s="547"/>
      <c r="H21" s="545"/>
    </row>
    <row r="22" spans="1:8" ht="12.75">
      <c r="A22" s="359" t="s">
        <v>28</v>
      </c>
      <c r="B22" s="481" t="s">
        <v>773</v>
      </c>
      <c r="C22" s="478"/>
      <c r="D22" s="483"/>
      <c r="E22" s="543"/>
      <c r="F22" s="544"/>
      <c r="G22" s="547"/>
      <c r="H22" s="545"/>
    </row>
    <row r="23" spans="1:8" ht="12.75">
      <c r="A23" s="359" t="s">
        <v>202</v>
      </c>
      <c r="B23" s="481" t="s">
        <v>774</v>
      </c>
      <c r="C23" s="478"/>
      <c r="D23" s="483"/>
      <c r="E23" s="543"/>
      <c r="F23" s="544"/>
      <c r="G23" s="547"/>
      <c r="H23" s="545"/>
    </row>
    <row r="24" spans="1:8" ht="12.75">
      <c r="A24" s="359" t="s">
        <v>204</v>
      </c>
      <c r="B24" s="481" t="s">
        <v>775</v>
      </c>
      <c r="C24" s="478">
        <f>C25+C26+C27</f>
        <v>1099.7429233608939</v>
      </c>
      <c r="D24" s="483"/>
      <c r="E24" s="543">
        <f>E25+E26</f>
        <v>103.81</v>
      </c>
      <c r="F24" s="544"/>
      <c r="G24" s="478">
        <f>G25+G26+G27</f>
        <v>114.50243</v>
      </c>
      <c r="H24" s="545"/>
    </row>
    <row r="25" spans="1:8" ht="12.75">
      <c r="A25" s="359"/>
      <c r="B25" s="481" t="s">
        <v>776</v>
      </c>
      <c r="C25" s="478">
        <f>'[4]передача ээ '!$V$17</f>
        <v>976.458583360894</v>
      </c>
      <c r="D25" s="483"/>
      <c r="E25" s="543"/>
      <c r="F25" s="544"/>
      <c r="G25" s="478"/>
      <c r="H25" s="545"/>
    </row>
    <row r="26" spans="1:8" ht="12.75">
      <c r="A26" s="359"/>
      <c r="B26" s="481" t="s">
        <v>777</v>
      </c>
      <c r="C26" s="478">
        <f>'[4]передача ээ '!$V$18</f>
        <v>123.28434</v>
      </c>
      <c r="D26" s="483"/>
      <c r="E26" s="543">
        <f>'[6]НВВ 2020-2024'!$F$65</f>
        <v>103.81</v>
      </c>
      <c r="F26" s="544"/>
      <c r="G26" s="478">
        <f>E26*'2020-2024'!E14</f>
        <v>114.50243</v>
      </c>
      <c r="H26" s="545"/>
    </row>
    <row r="27" spans="1:8" ht="12.75">
      <c r="A27" s="359"/>
      <c r="B27" s="481" t="s">
        <v>778</v>
      </c>
      <c r="C27" s="548"/>
      <c r="D27" s="549"/>
      <c r="E27" s="550"/>
      <c r="F27" s="551"/>
      <c r="G27" s="478"/>
      <c r="H27" s="545"/>
    </row>
    <row r="28" spans="1:8" ht="12.75">
      <c r="A28" s="359" t="s">
        <v>206</v>
      </c>
      <c r="B28" s="481" t="s">
        <v>779</v>
      </c>
      <c r="C28" s="478"/>
      <c r="D28" s="483"/>
      <c r="E28" s="543"/>
      <c r="F28" s="544"/>
      <c r="G28" s="478"/>
      <c r="H28" s="545"/>
    </row>
    <row r="29" spans="1:8" ht="12.75">
      <c r="A29" s="552" t="s">
        <v>610</v>
      </c>
      <c r="B29" s="481" t="s">
        <v>780</v>
      </c>
      <c r="C29" s="478">
        <f>C36</f>
        <v>2305.5735699999996</v>
      </c>
      <c r="D29" s="483"/>
      <c r="E29" s="543">
        <f>E36</f>
        <v>1745.57</v>
      </c>
      <c r="F29" s="544"/>
      <c r="G29" s="478">
        <f>G31+G36+G42</f>
        <v>2052.875973476948</v>
      </c>
      <c r="H29" s="545"/>
    </row>
    <row r="30" spans="1:8" ht="12.75" customHeight="1">
      <c r="A30" s="553"/>
      <c r="B30" s="538" t="s">
        <v>647</v>
      </c>
      <c r="C30" s="474"/>
      <c r="D30" s="539"/>
      <c r="E30" s="540"/>
      <c r="F30" s="541"/>
      <c r="G30" s="474"/>
      <c r="H30" s="542"/>
    </row>
    <row r="31" spans="1:8" ht="12.75">
      <c r="A31" s="553"/>
      <c r="B31" s="481" t="s">
        <v>781</v>
      </c>
      <c r="C31" s="478"/>
      <c r="D31" s="483"/>
      <c r="E31" s="543"/>
      <c r="F31" s="544"/>
      <c r="G31" s="478"/>
      <c r="H31" s="545"/>
    </row>
    <row r="32" spans="1:8" ht="12.75" hidden="1" outlineLevel="1">
      <c r="A32" s="553"/>
      <c r="B32" s="481" t="s">
        <v>97</v>
      </c>
      <c r="C32" s="478"/>
      <c r="D32" s="483"/>
      <c r="E32" s="543"/>
      <c r="F32" s="544"/>
      <c r="G32" s="478"/>
      <c r="H32" s="545"/>
    </row>
    <row r="33" spans="1:8" ht="12.75" hidden="1" outlineLevel="1">
      <c r="A33" s="553"/>
      <c r="B33" s="481" t="s">
        <v>512</v>
      </c>
      <c r="C33" s="478"/>
      <c r="D33" s="483"/>
      <c r="E33" s="543"/>
      <c r="F33" s="544"/>
      <c r="G33" s="478"/>
      <c r="H33" s="545"/>
    </row>
    <row r="34" spans="1:8" ht="12.75" hidden="1" outlineLevel="1">
      <c r="A34" s="553"/>
      <c r="B34" s="481" t="s">
        <v>513</v>
      </c>
      <c r="C34" s="478"/>
      <c r="D34" s="483"/>
      <c r="E34" s="543"/>
      <c r="F34" s="544"/>
      <c r="G34" s="478"/>
      <c r="H34" s="545"/>
    </row>
    <row r="35" spans="1:8" ht="12.75" hidden="1" outlineLevel="1">
      <c r="A35" s="553"/>
      <c r="B35" s="481" t="s">
        <v>39</v>
      </c>
      <c r="C35" s="478"/>
      <c r="D35" s="483"/>
      <c r="E35" s="543"/>
      <c r="F35" s="544"/>
      <c r="G35" s="478"/>
      <c r="H35" s="545"/>
    </row>
    <row r="36" spans="1:8" ht="12.75" collapsed="1">
      <c r="A36" s="553"/>
      <c r="B36" s="481" t="s">
        <v>782</v>
      </c>
      <c r="C36" s="478">
        <f>'[4]передача ээ '!$V$27</f>
        <v>2305.5735699999996</v>
      </c>
      <c r="D36" s="483"/>
      <c r="E36" s="543">
        <f>'[6]НВВ 2020-2024'!$F$78</f>
        <v>1745.57</v>
      </c>
      <c r="F36" s="544"/>
      <c r="G36" s="478">
        <f>'неподконтрольные ээ'!H18/1000</f>
        <v>2052.875973476948</v>
      </c>
      <c r="H36" s="545"/>
    </row>
    <row r="37" spans="1:8" ht="12.75" hidden="1" outlineLevel="1">
      <c r="A37" s="553"/>
      <c r="B37" s="481" t="s">
        <v>97</v>
      </c>
      <c r="C37" s="478"/>
      <c r="D37" s="483"/>
      <c r="E37" s="543"/>
      <c r="F37" s="544"/>
      <c r="G37" s="478"/>
      <c r="H37" s="545"/>
    </row>
    <row r="38" spans="1:8" ht="12.75" hidden="1" outlineLevel="1">
      <c r="A38" s="553"/>
      <c r="B38" s="481" t="s">
        <v>512</v>
      </c>
      <c r="C38" s="478"/>
      <c r="D38" s="483"/>
      <c r="E38" s="543"/>
      <c r="F38" s="544"/>
      <c r="G38" s="478"/>
      <c r="H38" s="545"/>
    </row>
    <row r="39" spans="1:8" ht="12.75" hidden="1" outlineLevel="1">
      <c r="A39" s="553"/>
      <c r="B39" s="481" t="s">
        <v>513</v>
      </c>
      <c r="C39" s="478"/>
      <c r="D39" s="483"/>
      <c r="E39" s="543"/>
      <c r="F39" s="544"/>
      <c r="G39" s="478"/>
      <c r="H39" s="545"/>
    </row>
    <row r="40" spans="1:8" ht="12.75" hidden="1" outlineLevel="1">
      <c r="A40" s="553"/>
      <c r="B40" s="481" t="s">
        <v>39</v>
      </c>
      <c r="C40" s="478"/>
      <c r="D40" s="483"/>
      <c r="E40" s="543"/>
      <c r="F40" s="544"/>
      <c r="G40" s="478"/>
      <c r="H40" s="545"/>
    </row>
    <row r="41" spans="1:8" ht="12.75" collapsed="1">
      <c r="A41" s="1134"/>
      <c r="B41" s="481" t="s">
        <v>783</v>
      </c>
      <c r="C41" s="478"/>
      <c r="D41" s="483"/>
      <c r="E41" s="543"/>
      <c r="F41" s="544"/>
      <c r="G41" s="478"/>
      <c r="H41" s="545"/>
    </row>
    <row r="42" spans="1:8" ht="24" customHeight="1">
      <c r="A42" s="1134"/>
      <c r="B42" s="481" t="s">
        <v>784</v>
      </c>
      <c r="C42" s="478"/>
      <c r="D42" s="483"/>
      <c r="E42" s="543"/>
      <c r="F42" s="544"/>
      <c r="G42" s="478"/>
      <c r="H42" s="545"/>
    </row>
    <row r="43" spans="1:9" ht="13.5" thickBot="1">
      <c r="A43" s="360" t="s">
        <v>612</v>
      </c>
      <c r="B43" s="554" t="s">
        <v>785</v>
      </c>
      <c r="C43" s="555">
        <f>C12+C19+C24+C29</f>
        <v>3420.8961633608933</v>
      </c>
      <c r="D43" s="488"/>
      <c r="E43" s="556">
        <f>E12+E19+E24+E29</f>
        <v>15185.72</v>
      </c>
      <c r="F43" s="557"/>
      <c r="G43" s="556">
        <f>G12+G19+G24+G29</f>
        <v>14835.874532004305</v>
      </c>
      <c r="H43" s="558"/>
      <c r="I43" s="559"/>
    </row>
    <row r="44" spans="1:8" ht="12.75" hidden="1" outlineLevel="1">
      <c r="A44" s="560"/>
      <c r="B44" s="561" t="s">
        <v>647</v>
      </c>
      <c r="C44" s="562"/>
      <c r="D44" s="562"/>
      <c r="E44" s="562"/>
      <c r="F44" s="562"/>
      <c r="G44" s="562"/>
      <c r="H44" s="562"/>
    </row>
    <row r="45" spans="1:8" ht="11.25" customHeight="1" hidden="1" outlineLevel="1">
      <c r="A45" s="563"/>
      <c r="B45" s="564" t="s">
        <v>97</v>
      </c>
      <c r="C45" s="565"/>
      <c r="D45" s="565"/>
      <c r="E45" s="565"/>
      <c r="F45" s="565"/>
      <c r="G45" s="565"/>
      <c r="H45" s="565"/>
    </row>
    <row r="46" spans="1:8" ht="11.25" customHeight="1" hidden="1" outlineLevel="1">
      <c r="A46" s="563"/>
      <c r="B46" s="564" t="s">
        <v>512</v>
      </c>
      <c r="C46" s="565"/>
      <c r="D46" s="565"/>
      <c r="E46" s="565"/>
      <c r="F46" s="565"/>
      <c r="G46" s="565"/>
      <c r="H46" s="565"/>
    </row>
    <row r="47" spans="1:8" ht="11.25" customHeight="1" hidden="1" outlineLevel="1">
      <c r="A47" s="563"/>
      <c r="B47" s="564" t="s">
        <v>513</v>
      </c>
      <c r="C47" s="566">
        <f>E47</f>
        <v>14835.874532004305</v>
      </c>
      <c r="D47" s="565"/>
      <c r="E47" s="566">
        <f>G47</f>
        <v>14835.874532004305</v>
      </c>
      <c r="F47" s="565"/>
      <c r="G47" s="566">
        <f>G43</f>
        <v>14835.874532004305</v>
      </c>
      <c r="H47" s="565"/>
    </row>
    <row r="48" spans="1:8" ht="11.25" customHeight="1" hidden="1" outlineLevel="1">
      <c r="A48" s="563"/>
      <c r="B48" s="564" t="s">
        <v>39</v>
      </c>
      <c r="C48" s="565"/>
      <c r="D48" s="565"/>
      <c r="E48" s="565"/>
      <c r="F48" s="565"/>
      <c r="G48" s="565"/>
      <c r="H48" s="565"/>
    </row>
    <row r="49" ht="12.75" collapsed="1"/>
    <row r="50" spans="1:8" ht="72.75" customHeight="1">
      <c r="A50" s="1135" t="str">
        <f>'[2]20.3'!A30:C30</f>
        <v>Начальник ПЭО</v>
      </c>
      <c r="B50" s="1135"/>
      <c r="C50" s="1135"/>
      <c r="D50" s="1135"/>
      <c r="E50" s="1135"/>
      <c r="F50" s="1136" t="str">
        <f>'[2]20.3'!D30</f>
        <v>М.С. Мироненко</v>
      </c>
      <c r="G50" s="1137"/>
      <c r="H50" s="1137"/>
    </row>
    <row r="51" ht="12.75">
      <c r="C51" s="559"/>
    </row>
  </sheetData>
  <sheetProtection/>
  <mergeCells count="16">
    <mergeCell ref="E1:H1"/>
    <mergeCell ref="A2:H2"/>
    <mergeCell ref="A3:H3"/>
    <mergeCell ref="A4:H4"/>
    <mergeCell ref="A5:H5"/>
    <mergeCell ref="G7:H7"/>
    <mergeCell ref="A19:A21"/>
    <mergeCell ref="A41:A42"/>
    <mergeCell ref="A50:E50"/>
    <mergeCell ref="F50:H50"/>
    <mergeCell ref="A8:A10"/>
    <mergeCell ref="B8:B10"/>
    <mergeCell ref="C8:D8"/>
    <mergeCell ref="E8:F8"/>
    <mergeCell ref="G8:H8"/>
    <mergeCell ref="A12:A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6"/>
  <sheetViews>
    <sheetView zoomScalePageLayoutView="0" workbookViewId="0" topLeftCell="A1">
      <selection activeCell="J15" sqref="J15"/>
    </sheetView>
  </sheetViews>
  <sheetFormatPr defaultColWidth="8.00390625" defaultRowHeight="12.75" outlineLevelRow="1" outlineLevelCol="1"/>
  <cols>
    <col min="1" max="1" width="5.00390625" style="567" customWidth="1"/>
    <col min="2" max="2" width="38.625" style="567" customWidth="1"/>
    <col min="3" max="3" width="11.25390625" style="567" customWidth="1"/>
    <col min="4" max="4" width="11.875" style="567" customWidth="1"/>
    <col min="5" max="5" width="7.875" style="567" customWidth="1"/>
    <col min="6" max="6" width="8.125" style="567" hidden="1" customWidth="1" outlineLevel="1"/>
    <col min="7" max="7" width="8.625" style="567" hidden="1" customWidth="1" outlineLevel="1"/>
    <col min="8" max="8" width="15.00390625" style="567" hidden="1" customWidth="1" collapsed="1"/>
    <col min="9" max="9" width="21.00390625" style="567" hidden="1" customWidth="1"/>
    <col min="10" max="10" width="12.25390625" style="567" customWidth="1"/>
    <col min="11" max="16384" width="8.00390625" style="567" customWidth="1"/>
  </cols>
  <sheetData>
    <row r="1" ht="12.75">
      <c r="K1" s="568" t="s">
        <v>786</v>
      </c>
    </row>
    <row r="2" spans="1:11" ht="37.5" customHeight="1">
      <c r="A2" s="1148" t="s">
        <v>787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</row>
    <row r="3" spans="1:11" ht="14.25" customHeight="1">
      <c r="A3" s="1149" t="str">
        <f>'[2]15 (ЭЭ)'!A4:E4</f>
        <v>ОАО "Электротехнический комплекс"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</row>
    <row r="4" spans="1:8" ht="15" customHeight="1" thickBot="1">
      <c r="A4" s="569"/>
      <c r="B4" s="569"/>
      <c r="C4" s="569"/>
      <c r="D4" s="569"/>
      <c r="E4" s="569"/>
      <c r="F4" s="569"/>
      <c r="G4" s="569"/>
      <c r="H4" s="569"/>
    </row>
    <row r="5" spans="1:11" ht="46.5" customHeight="1">
      <c r="A5" s="1150" t="s">
        <v>597</v>
      </c>
      <c r="B5" s="1152" t="s">
        <v>99</v>
      </c>
      <c r="C5" s="1154" t="s">
        <v>788</v>
      </c>
      <c r="D5" s="1156" t="s">
        <v>1232</v>
      </c>
      <c r="E5" s="1140"/>
      <c r="F5" s="1104" t="str">
        <f>'[2]21.3'!E8</f>
        <v>Базовый период
2018 год</v>
      </c>
      <c r="G5" s="1141"/>
      <c r="H5" s="570"/>
      <c r="I5" s="571"/>
      <c r="J5" s="1157" t="s">
        <v>1248</v>
      </c>
      <c r="K5" s="1141"/>
    </row>
    <row r="6" spans="1:11" ht="25.5">
      <c r="A6" s="1151"/>
      <c r="B6" s="1153"/>
      <c r="C6" s="1155"/>
      <c r="D6" s="407" t="s">
        <v>551</v>
      </c>
      <c r="E6" s="408" t="s">
        <v>789</v>
      </c>
      <c r="F6" s="365" t="s">
        <v>551</v>
      </c>
      <c r="G6" s="406" t="s">
        <v>789</v>
      </c>
      <c r="H6" s="572"/>
      <c r="I6" s="572"/>
      <c r="J6" s="524" t="s">
        <v>551</v>
      </c>
      <c r="K6" s="406" t="s">
        <v>789</v>
      </c>
    </row>
    <row r="7" spans="1:12" ht="13.5" thickBot="1">
      <c r="A7" s="573">
        <v>1</v>
      </c>
      <c r="B7" s="574">
        <v>2</v>
      </c>
      <c r="C7" s="575">
        <v>3</v>
      </c>
      <c r="D7" s="576">
        <v>4</v>
      </c>
      <c r="E7" s="574">
        <v>5</v>
      </c>
      <c r="F7" s="577">
        <v>4</v>
      </c>
      <c r="G7" s="578">
        <v>5</v>
      </c>
      <c r="H7" s="579" t="s">
        <v>790</v>
      </c>
      <c r="I7" s="579" t="s">
        <v>791</v>
      </c>
      <c r="J7" s="574">
        <v>6</v>
      </c>
      <c r="K7" s="578">
        <v>7</v>
      </c>
      <c r="L7" s="580"/>
    </row>
    <row r="8" spans="1:12" ht="25.5">
      <c r="A8" s="581" t="s">
        <v>26</v>
      </c>
      <c r="B8" s="582" t="s">
        <v>1322</v>
      </c>
      <c r="C8" s="583" t="s">
        <v>505</v>
      </c>
      <c r="D8" s="584">
        <f>'15(ээ)'!C40</f>
        <v>137708.95228564623</v>
      </c>
      <c r="E8" s="585"/>
      <c r="F8" s="586">
        <f>'[2]18.2'!E42</f>
        <v>110871.20621317408</v>
      </c>
      <c r="G8" s="587"/>
      <c r="H8" s="588">
        <f>SUM(H9:H13)-H10</f>
        <v>48252.28000000001</v>
      </c>
      <c r="I8" s="589">
        <f>+I9+I10+I13</f>
        <v>0.9999999999999997</v>
      </c>
      <c r="J8" s="590">
        <f>'15(ээ)'!E40</f>
        <v>160742.2412774245</v>
      </c>
      <c r="K8" s="587"/>
      <c r="L8" s="580"/>
    </row>
    <row r="9" spans="1:12" ht="12.75" hidden="1" outlineLevel="1">
      <c r="A9" s="591" t="s">
        <v>792</v>
      </c>
      <c r="B9" s="592" t="s">
        <v>97</v>
      </c>
      <c r="C9" s="593"/>
      <c r="D9" s="594"/>
      <c r="E9" s="595"/>
      <c r="F9" s="596"/>
      <c r="G9" s="597"/>
      <c r="H9" s="588">
        <v>11433.52</v>
      </c>
      <c r="I9" s="588">
        <f>H9/H8</f>
        <v>0.23695294813011938</v>
      </c>
      <c r="J9" s="598"/>
      <c r="K9" s="597"/>
      <c r="L9" s="580"/>
    </row>
    <row r="10" spans="1:12" ht="12.75" hidden="1" outlineLevel="1">
      <c r="A10" s="591" t="s">
        <v>793</v>
      </c>
      <c r="B10" s="592" t="s">
        <v>41</v>
      </c>
      <c r="C10" s="593"/>
      <c r="D10" s="594"/>
      <c r="E10" s="595"/>
      <c r="F10" s="596"/>
      <c r="G10" s="597"/>
      <c r="H10" s="588">
        <v>26298.23</v>
      </c>
      <c r="I10" s="588">
        <f>H10/H8</f>
        <v>0.5450152821794119</v>
      </c>
      <c r="J10" s="598"/>
      <c r="K10" s="597"/>
      <c r="L10" s="580"/>
    </row>
    <row r="11" spans="1:12" ht="12.75" hidden="1" outlineLevel="1">
      <c r="A11" s="591"/>
      <c r="B11" s="592" t="s">
        <v>794</v>
      </c>
      <c r="C11" s="593"/>
      <c r="D11" s="594"/>
      <c r="E11" s="595"/>
      <c r="F11" s="596"/>
      <c r="G11" s="597"/>
      <c r="H11" s="588">
        <v>6654.66</v>
      </c>
      <c r="I11" s="588">
        <f>+H11/H8</f>
        <v>0.13791389754017838</v>
      </c>
      <c r="J11" s="598"/>
      <c r="K11" s="597"/>
      <c r="L11" s="580"/>
    </row>
    <row r="12" spans="1:12" ht="12.75" hidden="1" outlineLevel="1">
      <c r="A12" s="591"/>
      <c r="B12" s="592" t="s">
        <v>795</v>
      </c>
      <c r="C12" s="593"/>
      <c r="D12" s="594">
        <f>'[2]18.2'!C42</f>
        <v>137000.59405</v>
      </c>
      <c r="E12" s="595"/>
      <c r="F12" s="596">
        <f>'[2]18.2'!E42</f>
        <v>110871.20621317408</v>
      </c>
      <c r="G12" s="597"/>
      <c r="H12" s="588">
        <f>+H10-H11</f>
        <v>19643.57</v>
      </c>
      <c r="I12" s="588">
        <f>+H12/H8</f>
        <v>0.4071013846392335</v>
      </c>
      <c r="J12" s="598">
        <f>J8</f>
        <v>160742.2412774245</v>
      </c>
      <c r="K12" s="597"/>
      <c r="L12" s="580"/>
    </row>
    <row r="13" spans="1:12" ht="12.75" hidden="1" outlineLevel="1">
      <c r="A13" s="591" t="s">
        <v>796</v>
      </c>
      <c r="B13" s="592" t="s">
        <v>39</v>
      </c>
      <c r="C13" s="593"/>
      <c r="D13" s="594"/>
      <c r="E13" s="595"/>
      <c r="F13" s="596"/>
      <c r="G13" s="597"/>
      <c r="H13" s="588">
        <v>10520.53</v>
      </c>
      <c r="I13" s="588">
        <f>H13/H8</f>
        <v>0.21803176969046847</v>
      </c>
      <c r="J13" s="598"/>
      <c r="K13" s="597"/>
      <c r="L13" s="580"/>
    </row>
    <row r="14" spans="1:12" ht="12.75" hidden="1" collapsed="1">
      <c r="A14" s="591"/>
      <c r="B14" s="592"/>
      <c r="C14" s="593"/>
      <c r="D14" s="594"/>
      <c r="E14" s="595"/>
      <c r="F14" s="596"/>
      <c r="G14" s="597"/>
      <c r="H14" s="599"/>
      <c r="I14" s="599"/>
      <c r="J14" s="598"/>
      <c r="K14" s="597"/>
      <c r="L14" s="580"/>
    </row>
    <row r="15" spans="1:12" ht="25.5">
      <c r="A15" s="591" t="s">
        <v>27</v>
      </c>
      <c r="B15" s="592" t="s">
        <v>797</v>
      </c>
      <c r="C15" s="593" t="s">
        <v>505</v>
      </c>
      <c r="D15" s="600">
        <f>'21.3'!C43</f>
        <v>3420.8961633608933</v>
      </c>
      <c r="E15" s="595"/>
      <c r="F15" s="601">
        <f>'[2]21.3'!E43</f>
        <v>5160.55796464</v>
      </c>
      <c r="G15" s="597"/>
      <c r="H15" s="599"/>
      <c r="I15" s="602"/>
      <c r="J15" s="603">
        <f>'21.3'!G43</f>
        <v>14835.874532004305</v>
      </c>
      <c r="K15" s="597"/>
      <c r="L15" s="580"/>
    </row>
    <row r="16" spans="1:12" ht="12.75" hidden="1" outlineLevel="1">
      <c r="A16" s="591" t="s">
        <v>717</v>
      </c>
      <c r="B16" s="592" t="s">
        <v>97</v>
      </c>
      <c r="C16" s="593"/>
      <c r="D16" s="594"/>
      <c r="E16" s="595"/>
      <c r="F16" s="596"/>
      <c r="G16" s="597"/>
      <c r="H16" s="604"/>
      <c r="I16" s="602"/>
      <c r="J16" s="598"/>
      <c r="K16" s="597"/>
      <c r="L16" s="580"/>
    </row>
    <row r="17" spans="1:12" ht="12.75" hidden="1" outlineLevel="1">
      <c r="A17" s="591" t="s">
        <v>719</v>
      </c>
      <c r="B17" s="592" t="s">
        <v>41</v>
      </c>
      <c r="C17" s="593"/>
      <c r="D17" s="594"/>
      <c r="E17" s="595"/>
      <c r="F17" s="596"/>
      <c r="G17" s="597"/>
      <c r="H17" s="604"/>
      <c r="I17" s="602"/>
      <c r="J17" s="598"/>
      <c r="K17" s="597"/>
      <c r="L17" s="580"/>
    </row>
    <row r="18" spans="1:12" ht="12.75" hidden="1" outlineLevel="1">
      <c r="A18" s="591"/>
      <c r="B18" s="592" t="s">
        <v>794</v>
      </c>
      <c r="C18" s="593"/>
      <c r="D18" s="594"/>
      <c r="E18" s="595"/>
      <c r="F18" s="596"/>
      <c r="G18" s="597"/>
      <c r="H18" s="604"/>
      <c r="I18" s="602"/>
      <c r="J18" s="598"/>
      <c r="K18" s="597"/>
      <c r="L18" s="580"/>
    </row>
    <row r="19" spans="1:12" ht="12.75" hidden="1" outlineLevel="1">
      <c r="A19" s="591"/>
      <c r="B19" s="592" t="s">
        <v>795</v>
      </c>
      <c r="C19" s="593"/>
      <c r="D19" s="594">
        <f>D15</f>
        <v>3420.8961633608933</v>
      </c>
      <c r="E19" s="595"/>
      <c r="F19" s="596">
        <f>F15</f>
        <v>5160.55796464</v>
      </c>
      <c r="G19" s="597"/>
      <c r="H19" s="604"/>
      <c r="I19" s="602"/>
      <c r="J19" s="598">
        <f>J15</f>
        <v>14835.874532004305</v>
      </c>
      <c r="K19" s="597"/>
      <c r="L19" s="580"/>
    </row>
    <row r="20" spans="1:11" ht="12.75" hidden="1" outlineLevel="1">
      <c r="A20" s="591" t="s">
        <v>721</v>
      </c>
      <c r="B20" s="592" t="s">
        <v>39</v>
      </c>
      <c r="C20" s="593"/>
      <c r="D20" s="594"/>
      <c r="E20" s="595"/>
      <c r="F20" s="596"/>
      <c r="G20" s="597"/>
      <c r="H20" s="605"/>
      <c r="I20" s="605"/>
      <c r="J20" s="598"/>
      <c r="K20" s="597"/>
    </row>
    <row r="21" spans="1:11" ht="12.75" collapsed="1">
      <c r="A21" s="591" t="s">
        <v>28</v>
      </c>
      <c r="B21" s="592" t="s">
        <v>798</v>
      </c>
      <c r="C21" s="593" t="s">
        <v>799</v>
      </c>
      <c r="D21" s="606">
        <f>D15/D8*100</f>
        <v>2.484149437332886</v>
      </c>
      <c r="E21" s="595"/>
      <c r="F21" s="607">
        <f>F15/F8*100</f>
        <v>4.654552016614397</v>
      </c>
      <c r="G21" s="597"/>
      <c r="H21" s="605"/>
      <c r="I21" s="605"/>
      <c r="J21" s="608">
        <f>J15/J8*100</f>
        <v>9.22960536950528</v>
      </c>
      <c r="K21" s="597"/>
    </row>
    <row r="22" spans="1:11" ht="28.5" customHeight="1">
      <c r="A22" s="591" t="s">
        <v>202</v>
      </c>
      <c r="B22" s="592" t="s">
        <v>800</v>
      </c>
      <c r="C22" s="593" t="s">
        <v>505</v>
      </c>
      <c r="D22" s="609">
        <f>D8+D15</f>
        <v>141129.8484490071</v>
      </c>
      <c r="E22" s="595"/>
      <c r="F22" s="610">
        <f>F12+F15</f>
        <v>116031.76417781408</v>
      </c>
      <c r="G22" s="597"/>
      <c r="H22" s="611"/>
      <c r="I22" s="589"/>
      <c r="J22" s="612">
        <f>J8+J15</f>
        <v>175578.1158094288</v>
      </c>
      <c r="K22" s="597"/>
    </row>
    <row r="23" spans="1:11" ht="12.75" hidden="1" outlineLevel="1">
      <c r="A23" s="591" t="s">
        <v>674</v>
      </c>
      <c r="B23" s="592" t="s">
        <v>97</v>
      </c>
      <c r="C23" s="593"/>
      <c r="D23" s="613"/>
      <c r="E23" s="595"/>
      <c r="F23" s="614"/>
      <c r="G23" s="597"/>
      <c r="H23" s="589"/>
      <c r="I23" s="589"/>
      <c r="J23" s="615"/>
      <c r="K23" s="597"/>
    </row>
    <row r="24" spans="1:11" ht="12.75" hidden="1" outlineLevel="1">
      <c r="A24" s="591" t="s">
        <v>676</v>
      </c>
      <c r="B24" s="592" t="s">
        <v>41</v>
      </c>
      <c r="C24" s="593"/>
      <c r="D24" s="613"/>
      <c r="E24" s="595"/>
      <c r="F24" s="614"/>
      <c r="G24" s="597"/>
      <c r="H24" s="589"/>
      <c r="I24" s="589"/>
      <c r="J24" s="615"/>
      <c r="K24" s="597"/>
    </row>
    <row r="25" spans="1:11" ht="12.75" hidden="1" outlineLevel="1">
      <c r="A25" s="591"/>
      <c r="B25" s="592" t="s">
        <v>794</v>
      </c>
      <c r="C25" s="593"/>
      <c r="D25" s="613"/>
      <c r="E25" s="595"/>
      <c r="F25" s="614"/>
      <c r="G25" s="597"/>
      <c r="H25" s="589"/>
      <c r="I25" s="589"/>
      <c r="J25" s="615"/>
      <c r="K25" s="597"/>
    </row>
    <row r="26" spans="1:11" ht="12.75" hidden="1" outlineLevel="1">
      <c r="A26" s="591"/>
      <c r="B26" s="592" t="s">
        <v>795</v>
      </c>
      <c r="C26" s="593"/>
      <c r="D26" s="613">
        <f>D22</f>
        <v>141129.8484490071</v>
      </c>
      <c r="E26" s="595"/>
      <c r="F26" s="614">
        <f>F22</f>
        <v>116031.76417781408</v>
      </c>
      <c r="G26" s="597"/>
      <c r="H26" s="589"/>
      <c r="I26" s="589"/>
      <c r="J26" s="615">
        <f>J22</f>
        <v>175578.1158094288</v>
      </c>
      <c r="K26" s="597"/>
    </row>
    <row r="27" spans="1:11" ht="12.75" hidden="1" outlineLevel="1">
      <c r="A27" s="591" t="s">
        <v>678</v>
      </c>
      <c r="B27" s="592" t="s">
        <v>39</v>
      </c>
      <c r="C27" s="593"/>
      <c r="D27" s="613"/>
      <c r="E27" s="595"/>
      <c r="F27" s="614"/>
      <c r="G27" s="597"/>
      <c r="H27" s="589"/>
      <c r="I27" s="589"/>
      <c r="J27" s="615"/>
      <c r="K27" s="597"/>
    </row>
    <row r="28" spans="1:12" ht="26.25" collapsed="1" thickBot="1">
      <c r="A28" s="616" t="s">
        <v>204</v>
      </c>
      <c r="B28" s="617" t="s">
        <v>801</v>
      </c>
      <c r="C28" s="618" t="s">
        <v>802</v>
      </c>
      <c r="D28" s="619"/>
      <c r="E28" s="620"/>
      <c r="F28" s="621">
        <v>96073.74</v>
      </c>
      <c r="G28" s="622"/>
      <c r="H28" s="623"/>
      <c r="I28" s="623"/>
      <c r="J28" s="624">
        <f>J22/6!I40/12*1000</f>
        <v>277085.6860294619</v>
      </c>
      <c r="K28" s="622"/>
      <c r="L28" s="625"/>
    </row>
    <row r="29" spans="1:11" ht="14.25" customHeight="1" hidden="1" outlineLevel="1">
      <c r="A29" s="626" t="s">
        <v>605</v>
      </c>
      <c r="B29" s="627" t="s">
        <v>97</v>
      </c>
      <c r="C29" s="628"/>
      <c r="D29" s="628"/>
      <c r="E29" s="628"/>
      <c r="F29" s="629"/>
      <c r="G29" s="629"/>
      <c r="J29" s="629"/>
      <c r="K29" s="629"/>
    </row>
    <row r="30" spans="1:11" ht="14.25" customHeight="1" hidden="1" outlineLevel="1">
      <c r="A30" s="630" t="s">
        <v>607</v>
      </c>
      <c r="B30" s="631" t="s">
        <v>41</v>
      </c>
      <c r="C30" s="632"/>
      <c r="D30" s="632"/>
      <c r="E30" s="632"/>
      <c r="F30" s="633"/>
      <c r="G30" s="633"/>
      <c r="J30" s="633"/>
      <c r="K30" s="633"/>
    </row>
    <row r="31" spans="1:11" ht="14.25" customHeight="1" hidden="1" outlineLevel="1">
      <c r="A31" s="630"/>
      <c r="B31" s="631" t="s">
        <v>794</v>
      </c>
      <c r="C31" s="632"/>
      <c r="D31" s="632"/>
      <c r="E31" s="632"/>
      <c r="F31" s="633"/>
      <c r="G31" s="633"/>
      <c r="J31" s="633"/>
      <c r="K31" s="633"/>
    </row>
    <row r="32" spans="1:11" ht="14.25" customHeight="1" hidden="1" outlineLevel="1">
      <c r="A32" s="630"/>
      <c r="B32" s="631" t="s">
        <v>795</v>
      </c>
      <c r="C32" s="632"/>
      <c r="D32" s="632"/>
      <c r="E32" s="632"/>
      <c r="F32" s="633"/>
      <c r="G32" s="633"/>
      <c r="J32" s="633"/>
      <c r="K32" s="633"/>
    </row>
    <row r="33" spans="1:11" ht="15" customHeight="1" hidden="1" outlineLevel="1">
      <c r="A33" s="630" t="s">
        <v>803</v>
      </c>
      <c r="B33" s="631" t="s">
        <v>39</v>
      </c>
      <c r="C33" s="632"/>
      <c r="D33" s="632"/>
      <c r="E33" s="632"/>
      <c r="F33" s="633"/>
      <c r="G33" s="633"/>
      <c r="J33" s="633"/>
      <c r="K33" s="633"/>
    </row>
    <row r="34" spans="1:11" ht="40.5" customHeight="1" hidden="1" outlineLevel="1">
      <c r="A34" s="634" t="s">
        <v>206</v>
      </c>
      <c r="B34" s="634" t="s">
        <v>804</v>
      </c>
      <c r="C34" s="635" t="s">
        <v>805</v>
      </c>
      <c r="D34" s="635"/>
      <c r="E34" s="635"/>
      <c r="F34" s="636"/>
      <c r="G34" s="636"/>
      <c r="H34" s="637"/>
      <c r="J34" s="636"/>
      <c r="K34" s="636"/>
    </row>
    <row r="35" spans="1:11" ht="18.75" customHeight="1" hidden="1" outlineLevel="1">
      <c r="A35" s="638" t="s">
        <v>806</v>
      </c>
      <c r="B35" s="634" t="s">
        <v>97</v>
      </c>
      <c r="C35" s="639"/>
      <c r="D35" s="639"/>
      <c r="E35" s="639"/>
      <c r="F35" s="633"/>
      <c r="G35" s="633"/>
      <c r="H35" s="637"/>
      <c r="J35" s="633"/>
      <c r="K35" s="633"/>
    </row>
    <row r="36" spans="1:11" ht="15" customHeight="1" hidden="1" outlineLevel="1">
      <c r="A36" s="630" t="s">
        <v>807</v>
      </c>
      <c r="B36" s="631" t="s">
        <v>41</v>
      </c>
      <c r="C36" s="640"/>
      <c r="D36" s="640"/>
      <c r="E36" s="640"/>
      <c r="F36" s="633"/>
      <c r="G36" s="633"/>
      <c r="H36" s="641"/>
      <c r="J36" s="633"/>
      <c r="K36" s="633"/>
    </row>
    <row r="37" spans="1:11" ht="15" customHeight="1" hidden="1" outlineLevel="1">
      <c r="A37" s="630"/>
      <c r="B37" s="631" t="s">
        <v>794</v>
      </c>
      <c r="C37" s="640"/>
      <c r="D37" s="640"/>
      <c r="E37" s="640"/>
      <c r="F37" s="633"/>
      <c r="G37" s="633"/>
      <c r="H37" s="641"/>
      <c r="J37" s="633"/>
      <c r="K37" s="633"/>
    </row>
    <row r="38" spans="1:11" ht="15" customHeight="1" hidden="1" outlineLevel="1">
      <c r="A38" s="630"/>
      <c r="B38" s="631" t="s">
        <v>795</v>
      </c>
      <c r="C38" s="640"/>
      <c r="D38" s="640"/>
      <c r="E38" s="640"/>
      <c r="F38" s="633"/>
      <c r="G38" s="633"/>
      <c r="H38" s="641"/>
      <c r="J38" s="633"/>
      <c r="K38" s="633"/>
    </row>
    <row r="39" spans="1:11" ht="15.75" customHeight="1" hidden="1" outlineLevel="1">
      <c r="A39" s="630" t="s">
        <v>808</v>
      </c>
      <c r="B39" s="631" t="s">
        <v>39</v>
      </c>
      <c r="C39" s="640"/>
      <c r="D39" s="640"/>
      <c r="E39" s="640"/>
      <c r="F39" s="633"/>
      <c r="G39" s="633"/>
      <c r="H39" s="642"/>
      <c r="J39" s="633"/>
      <c r="K39" s="633"/>
    </row>
    <row r="40" spans="1:10" ht="12.75" collapsed="1">
      <c r="A40" s="643"/>
      <c r="B40" s="644"/>
      <c r="C40" s="645"/>
      <c r="D40" s="645"/>
      <c r="E40" s="645"/>
      <c r="F40" s="646"/>
      <c r="G40" s="647"/>
      <c r="J40" s="646"/>
    </row>
    <row r="41" spans="1:7" ht="12.75">
      <c r="A41" s="643"/>
      <c r="B41" s="644"/>
      <c r="C41" s="645"/>
      <c r="D41" s="645"/>
      <c r="E41" s="645"/>
      <c r="F41" s="646"/>
      <c r="G41" s="647"/>
    </row>
    <row r="42" spans="1:11" ht="18.75">
      <c r="A42" s="1146" t="str">
        <f>'[2]21.3'!A50:E50</f>
        <v>Начальник ПЭО</v>
      </c>
      <c r="B42" s="1146"/>
      <c r="C42" s="1146"/>
      <c r="D42" s="648"/>
      <c r="E42" s="648"/>
      <c r="F42" s="1147" t="str">
        <f>'[2]21.3'!F50</f>
        <v>М.С. Мироненко</v>
      </c>
      <c r="G42" s="1147"/>
      <c r="H42" s="1147"/>
      <c r="I42" s="1147"/>
      <c r="J42" s="1147"/>
      <c r="K42" s="1147"/>
    </row>
    <row r="43" spans="3:7" ht="12.75">
      <c r="C43" s="649"/>
      <c r="D43" s="649"/>
      <c r="E43" s="649"/>
      <c r="F43" s="650"/>
      <c r="G43" s="650"/>
    </row>
    <row r="44" spans="3:7" ht="12.75">
      <c r="C44" s="649"/>
      <c r="D44" s="649"/>
      <c r="E44" s="649"/>
      <c r="F44" s="650"/>
      <c r="G44" s="650"/>
    </row>
    <row r="45" spans="3:7" ht="12.75">
      <c r="C45" s="649"/>
      <c r="D45" s="649"/>
      <c r="E45" s="649"/>
      <c r="F45" s="650"/>
      <c r="G45" s="650"/>
    </row>
    <row r="46" spans="3:7" ht="12.75">
      <c r="C46" s="649"/>
      <c r="D46" s="649"/>
      <c r="E46" s="649"/>
      <c r="F46" s="650"/>
      <c r="G46" s="650"/>
    </row>
    <row r="47" spans="3:7" ht="12.75">
      <c r="C47" s="649"/>
      <c r="D47" s="649"/>
      <c r="E47" s="649"/>
      <c r="F47" s="650"/>
      <c r="G47" s="650"/>
    </row>
    <row r="48" spans="3:7" ht="12.75">
      <c r="C48" s="649"/>
      <c r="D48" s="649"/>
      <c r="E48" s="649"/>
      <c r="F48" s="650"/>
      <c r="G48" s="650"/>
    </row>
    <row r="49" spans="3:7" ht="12.75">
      <c r="C49" s="649"/>
      <c r="D49" s="649"/>
      <c r="E49" s="649"/>
      <c r="F49" s="650"/>
      <c r="G49" s="650"/>
    </row>
    <row r="50" spans="3:7" ht="12.75">
      <c r="C50" s="649"/>
      <c r="D50" s="649"/>
      <c r="E50" s="649"/>
      <c r="F50" s="650"/>
      <c r="G50" s="650"/>
    </row>
    <row r="51" spans="3:7" ht="12.75">
      <c r="C51" s="649"/>
      <c r="D51" s="649"/>
      <c r="E51" s="649"/>
      <c r="F51" s="650"/>
      <c r="G51" s="650"/>
    </row>
    <row r="52" spans="3:7" ht="12.75">
      <c r="C52" s="649"/>
      <c r="D52" s="649"/>
      <c r="E52" s="649"/>
      <c r="F52" s="650"/>
      <c r="G52" s="650"/>
    </row>
    <row r="53" spans="3:5" ht="12.75">
      <c r="C53" s="649"/>
      <c r="D53" s="649"/>
      <c r="E53" s="649"/>
    </row>
    <row r="54" spans="3:5" ht="12.75">
      <c r="C54" s="649"/>
      <c r="D54" s="649"/>
      <c r="E54" s="649"/>
    </row>
    <row r="55" spans="3:5" ht="12.75">
      <c r="C55" s="649"/>
      <c r="D55" s="649"/>
      <c r="E55" s="649"/>
    </row>
    <row r="56" spans="3:5" ht="12.75">
      <c r="C56" s="649"/>
      <c r="D56" s="649"/>
      <c r="E56" s="649"/>
    </row>
    <row r="57" spans="3:5" ht="12.75">
      <c r="C57" s="649"/>
      <c r="D57" s="649"/>
      <c r="E57" s="649"/>
    </row>
    <row r="58" spans="3:5" ht="12.75">
      <c r="C58" s="649"/>
      <c r="D58" s="649"/>
      <c r="E58" s="649"/>
    </row>
    <row r="59" spans="3:5" ht="12.75">
      <c r="C59" s="649"/>
      <c r="D59" s="649"/>
      <c r="E59" s="649"/>
    </row>
    <row r="60" spans="3:5" ht="12.75">
      <c r="C60" s="649"/>
      <c r="D60" s="649"/>
      <c r="E60" s="649"/>
    </row>
    <row r="61" spans="3:5" ht="12.75">
      <c r="C61" s="649"/>
      <c r="D61" s="649"/>
      <c r="E61" s="649"/>
    </row>
    <row r="62" spans="3:5" ht="12.75">
      <c r="C62" s="649"/>
      <c r="D62" s="649"/>
      <c r="E62" s="649"/>
    </row>
    <row r="63" spans="3:5" ht="12.75">
      <c r="C63" s="649"/>
      <c r="D63" s="649"/>
      <c r="E63" s="649"/>
    </row>
    <row r="64" spans="3:5" ht="12.75">
      <c r="C64" s="649"/>
      <c r="D64" s="649"/>
      <c r="E64" s="649"/>
    </row>
    <row r="65" spans="3:5" ht="12.75">
      <c r="C65" s="649"/>
      <c r="D65" s="649"/>
      <c r="E65" s="649"/>
    </row>
    <row r="66" spans="3:5" ht="12.75">
      <c r="C66" s="649"/>
      <c r="D66" s="649"/>
      <c r="E66" s="649"/>
    </row>
    <row r="67" spans="3:5" ht="12.75">
      <c r="C67" s="649"/>
      <c r="D67" s="649"/>
      <c r="E67" s="649"/>
    </row>
    <row r="68" spans="3:5" ht="12.75">
      <c r="C68" s="649"/>
      <c r="D68" s="649"/>
      <c r="E68" s="649"/>
    </row>
    <row r="69" spans="3:5" ht="12.75">
      <c r="C69" s="649"/>
      <c r="D69" s="649"/>
      <c r="E69" s="649"/>
    </row>
    <row r="70" spans="3:5" ht="12.75">
      <c r="C70" s="649"/>
      <c r="D70" s="649"/>
      <c r="E70" s="649"/>
    </row>
    <row r="71" spans="3:5" ht="12.75">
      <c r="C71" s="649"/>
      <c r="D71" s="649"/>
      <c r="E71" s="649"/>
    </row>
    <row r="72" spans="3:5" ht="12.75">
      <c r="C72" s="649"/>
      <c r="D72" s="649"/>
      <c r="E72" s="649"/>
    </row>
    <row r="73" spans="3:5" ht="12.75">
      <c r="C73" s="649"/>
      <c r="D73" s="649"/>
      <c r="E73" s="649"/>
    </row>
    <row r="74" spans="3:5" ht="12.75">
      <c r="C74" s="649"/>
      <c r="D74" s="649"/>
      <c r="E74" s="649"/>
    </row>
    <row r="75" spans="3:5" ht="12.75">
      <c r="C75" s="649"/>
      <c r="D75" s="649"/>
      <c r="E75" s="649"/>
    </row>
    <row r="76" spans="3:5" ht="12.75">
      <c r="C76" s="649"/>
      <c r="D76" s="649"/>
      <c r="E76" s="649"/>
    </row>
    <row r="77" spans="3:5" ht="12.75">
      <c r="C77" s="649"/>
      <c r="D77" s="649"/>
      <c r="E77" s="649"/>
    </row>
    <row r="78" spans="3:5" ht="12.75">
      <c r="C78" s="649"/>
      <c r="D78" s="649"/>
      <c r="E78" s="649"/>
    </row>
    <row r="79" spans="3:5" ht="12.75">
      <c r="C79" s="649"/>
      <c r="D79" s="649"/>
      <c r="E79" s="649"/>
    </row>
    <row r="80" spans="3:5" ht="12.75">
      <c r="C80" s="649"/>
      <c r="D80" s="649"/>
      <c r="E80" s="649"/>
    </row>
    <row r="81" spans="3:5" ht="12.75">
      <c r="C81" s="649"/>
      <c r="D81" s="649"/>
      <c r="E81" s="649"/>
    </row>
    <row r="82" spans="3:5" ht="12.75">
      <c r="C82" s="649"/>
      <c r="D82" s="649"/>
      <c r="E82" s="649"/>
    </row>
    <row r="83" spans="3:5" ht="12.75">
      <c r="C83" s="649"/>
      <c r="D83" s="649"/>
      <c r="E83" s="649"/>
    </row>
    <row r="84" spans="3:5" ht="12.75">
      <c r="C84" s="649"/>
      <c r="D84" s="649"/>
      <c r="E84" s="649"/>
    </row>
    <row r="85" spans="3:5" ht="12.75">
      <c r="C85" s="649"/>
      <c r="D85" s="649"/>
      <c r="E85" s="649"/>
    </row>
    <row r="86" spans="3:5" ht="12.75">
      <c r="C86" s="649"/>
      <c r="D86" s="649"/>
      <c r="E86" s="649"/>
    </row>
    <row r="87" spans="3:5" ht="12.75">
      <c r="C87" s="649"/>
      <c r="D87" s="649"/>
      <c r="E87" s="649"/>
    </row>
    <row r="88" spans="3:5" ht="12.75">
      <c r="C88" s="649"/>
      <c r="D88" s="649"/>
      <c r="E88" s="649"/>
    </row>
    <row r="89" spans="3:5" ht="12.75">
      <c r="C89" s="649"/>
      <c r="D89" s="649"/>
      <c r="E89" s="649"/>
    </row>
    <row r="90" spans="3:5" ht="12.75">
      <c r="C90" s="649"/>
      <c r="D90" s="649"/>
      <c r="E90" s="649"/>
    </row>
    <row r="91" spans="3:5" ht="12.75">
      <c r="C91" s="649"/>
      <c r="D91" s="649"/>
      <c r="E91" s="649"/>
    </row>
    <row r="92" spans="3:5" ht="12.75">
      <c r="C92" s="649"/>
      <c r="D92" s="649"/>
      <c r="E92" s="649"/>
    </row>
    <row r="93" spans="3:5" ht="12.75">
      <c r="C93" s="649"/>
      <c r="D93" s="649"/>
      <c r="E93" s="649"/>
    </row>
    <row r="94" spans="3:5" ht="12.75">
      <c r="C94" s="649"/>
      <c r="D94" s="649"/>
      <c r="E94" s="649"/>
    </row>
    <row r="95" spans="3:5" ht="12.75">
      <c r="C95" s="649"/>
      <c r="D95" s="649"/>
      <c r="E95" s="649"/>
    </row>
    <row r="96" spans="3:5" ht="12.75">
      <c r="C96" s="649"/>
      <c r="D96" s="649"/>
      <c r="E96" s="649"/>
    </row>
    <row r="97" spans="3:5" ht="12.75">
      <c r="C97" s="649"/>
      <c r="D97" s="649"/>
      <c r="E97" s="649"/>
    </row>
    <row r="98" spans="3:5" ht="12.75">
      <c r="C98" s="649"/>
      <c r="D98" s="649"/>
      <c r="E98" s="649"/>
    </row>
    <row r="99" spans="3:5" ht="12.75">
      <c r="C99" s="649"/>
      <c r="D99" s="649"/>
      <c r="E99" s="649"/>
    </row>
    <row r="100" spans="3:5" ht="12.75">
      <c r="C100" s="649"/>
      <c r="D100" s="649"/>
      <c r="E100" s="649"/>
    </row>
    <row r="101" spans="3:5" ht="12.75">
      <c r="C101" s="649"/>
      <c r="D101" s="649"/>
      <c r="E101" s="649"/>
    </row>
    <row r="102" spans="3:5" ht="12.75">
      <c r="C102" s="649"/>
      <c r="D102" s="649"/>
      <c r="E102" s="649"/>
    </row>
    <row r="103" spans="3:5" ht="12.75">
      <c r="C103" s="649"/>
      <c r="D103" s="649"/>
      <c r="E103" s="649"/>
    </row>
    <row r="104" spans="3:5" ht="12.75">
      <c r="C104" s="649"/>
      <c r="D104" s="649"/>
      <c r="E104" s="649"/>
    </row>
    <row r="105" spans="3:5" ht="12.75">
      <c r="C105" s="649"/>
      <c r="D105" s="649"/>
      <c r="E105" s="649"/>
    </row>
    <row r="106" spans="3:5" ht="12.75">
      <c r="C106" s="649"/>
      <c r="D106" s="649"/>
      <c r="E106" s="649"/>
    </row>
    <row r="107" spans="3:5" ht="12.75">
      <c r="C107" s="649"/>
      <c r="D107" s="649"/>
      <c r="E107" s="649"/>
    </row>
    <row r="108" spans="3:5" ht="12.75">
      <c r="C108" s="649"/>
      <c r="D108" s="649"/>
      <c r="E108" s="649"/>
    </row>
    <row r="109" spans="3:5" ht="12.75">
      <c r="C109" s="649"/>
      <c r="D109" s="649"/>
      <c r="E109" s="649"/>
    </row>
    <row r="110" spans="3:5" ht="12.75">
      <c r="C110" s="649"/>
      <c r="D110" s="649"/>
      <c r="E110" s="649"/>
    </row>
    <row r="111" spans="3:5" ht="12.75">
      <c r="C111" s="649"/>
      <c r="D111" s="649"/>
      <c r="E111" s="649"/>
    </row>
    <row r="112" spans="3:5" ht="12.75">
      <c r="C112" s="649"/>
      <c r="D112" s="649"/>
      <c r="E112" s="649"/>
    </row>
    <row r="113" spans="3:5" ht="12.75">
      <c r="C113" s="649"/>
      <c r="D113" s="649"/>
      <c r="E113" s="649"/>
    </row>
    <row r="114" spans="3:5" ht="12.75">
      <c r="C114" s="649"/>
      <c r="D114" s="649"/>
      <c r="E114" s="649"/>
    </row>
    <row r="115" spans="3:5" ht="12.75">
      <c r="C115" s="649"/>
      <c r="D115" s="649"/>
      <c r="E115" s="649"/>
    </row>
    <row r="116" spans="3:5" ht="12.75">
      <c r="C116" s="649"/>
      <c r="D116" s="649"/>
      <c r="E116" s="649"/>
    </row>
    <row r="117" spans="3:5" ht="12.75">
      <c r="C117" s="649"/>
      <c r="D117" s="649"/>
      <c r="E117" s="649"/>
    </row>
    <row r="118" spans="3:5" ht="12.75">
      <c r="C118" s="649"/>
      <c r="D118" s="649"/>
      <c r="E118" s="649"/>
    </row>
    <row r="119" spans="3:5" ht="12.75">
      <c r="C119" s="649"/>
      <c r="D119" s="649"/>
      <c r="E119" s="649"/>
    </row>
    <row r="120" spans="3:5" ht="12.75">
      <c r="C120" s="649"/>
      <c r="D120" s="649"/>
      <c r="E120" s="649"/>
    </row>
    <row r="121" spans="3:5" ht="12.75">
      <c r="C121" s="649"/>
      <c r="D121" s="649"/>
      <c r="E121" s="649"/>
    </row>
    <row r="122" spans="3:5" ht="12.75">
      <c r="C122" s="649"/>
      <c r="D122" s="649"/>
      <c r="E122" s="649"/>
    </row>
    <row r="123" spans="3:5" ht="12.75">
      <c r="C123" s="649"/>
      <c r="D123" s="649"/>
      <c r="E123" s="649"/>
    </row>
    <row r="124" spans="3:5" ht="12.75">
      <c r="C124" s="649"/>
      <c r="D124" s="649"/>
      <c r="E124" s="649"/>
    </row>
    <row r="125" spans="3:5" ht="12.75">
      <c r="C125" s="649"/>
      <c r="D125" s="649"/>
      <c r="E125" s="649"/>
    </row>
    <row r="126" spans="3:5" ht="12.75">
      <c r="C126" s="649"/>
      <c r="D126" s="649"/>
      <c r="E126" s="649"/>
    </row>
    <row r="127" spans="3:5" ht="12.75">
      <c r="C127" s="649"/>
      <c r="D127" s="649"/>
      <c r="E127" s="649"/>
    </row>
    <row r="128" spans="3:5" ht="12.75">
      <c r="C128" s="649"/>
      <c r="D128" s="649"/>
      <c r="E128" s="649"/>
    </row>
    <row r="129" spans="3:5" ht="12.75">
      <c r="C129" s="649"/>
      <c r="D129" s="649"/>
      <c r="E129" s="649"/>
    </row>
    <row r="130" spans="3:5" ht="12.75">
      <c r="C130" s="649"/>
      <c r="D130" s="649"/>
      <c r="E130" s="649"/>
    </row>
    <row r="131" spans="3:5" ht="12.75">
      <c r="C131" s="649"/>
      <c r="D131" s="649"/>
      <c r="E131" s="649"/>
    </row>
    <row r="132" spans="3:5" ht="12.75">
      <c r="C132" s="649"/>
      <c r="D132" s="649"/>
      <c r="E132" s="649"/>
    </row>
    <row r="133" spans="3:5" ht="12.75">
      <c r="C133" s="649"/>
      <c r="D133" s="649"/>
      <c r="E133" s="649"/>
    </row>
    <row r="134" spans="3:5" ht="12.75">
      <c r="C134" s="649"/>
      <c r="D134" s="649"/>
      <c r="E134" s="649"/>
    </row>
    <row r="135" spans="3:5" ht="12.75">
      <c r="C135" s="649"/>
      <c r="D135" s="649"/>
      <c r="E135" s="649"/>
    </row>
    <row r="136" spans="3:5" ht="12.75">
      <c r="C136" s="649"/>
      <c r="D136" s="649"/>
      <c r="E136" s="649"/>
    </row>
    <row r="137" spans="3:5" ht="12.75">
      <c r="C137" s="649"/>
      <c r="D137" s="649"/>
      <c r="E137" s="649"/>
    </row>
    <row r="138" spans="3:5" ht="12.75">
      <c r="C138" s="649"/>
      <c r="D138" s="649"/>
      <c r="E138" s="649"/>
    </row>
    <row r="139" spans="3:5" ht="12.75">
      <c r="C139" s="649"/>
      <c r="D139" s="649"/>
      <c r="E139" s="649"/>
    </row>
    <row r="140" spans="3:5" ht="12.75">
      <c r="C140" s="649"/>
      <c r="D140" s="649"/>
      <c r="E140" s="649"/>
    </row>
    <row r="141" spans="3:5" ht="12.75">
      <c r="C141" s="649"/>
      <c r="D141" s="649"/>
      <c r="E141" s="649"/>
    </row>
    <row r="142" spans="3:5" ht="12.75">
      <c r="C142" s="649"/>
      <c r="D142" s="649"/>
      <c r="E142" s="649"/>
    </row>
    <row r="143" spans="3:5" ht="12.75">
      <c r="C143" s="649"/>
      <c r="D143" s="649"/>
      <c r="E143" s="649"/>
    </row>
    <row r="144" spans="3:5" ht="12.75">
      <c r="C144" s="649"/>
      <c r="D144" s="649"/>
      <c r="E144" s="649"/>
    </row>
    <row r="145" spans="3:5" ht="12.75">
      <c r="C145" s="649"/>
      <c r="D145" s="649"/>
      <c r="E145" s="649"/>
    </row>
    <row r="146" spans="3:5" ht="12.75">
      <c r="C146" s="649"/>
      <c r="D146" s="649"/>
      <c r="E146" s="649"/>
    </row>
    <row r="147" spans="3:5" ht="12.75">
      <c r="C147" s="649"/>
      <c r="D147" s="649"/>
      <c r="E147" s="649"/>
    </row>
    <row r="148" spans="3:5" ht="12.75">
      <c r="C148" s="649"/>
      <c r="D148" s="649"/>
      <c r="E148" s="649"/>
    </row>
    <row r="149" spans="3:5" ht="12.75">
      <c r="C149" s="649"/>
      <c r="D149" s="649"/>
      <c r="E149" s="649"/>
    </row>
    <row r="150" spans="3:5" ht="12.75">
      <c r="C150" s="649"/>
      <c r="D150" s="649"/>
      <c r="E150" s="649"/>
    </row>
    <row r="151" spans="3:5" ht="12.75">
      <c r="C151" s="649"/>
      <c r="D151" s="649"/>
      <c r="E151" s="649"/>
    </row>
    <row r="152" spans="3:5" ht="12.75">
      <c r="C152" s="649"/>
      <c r="D152" s="649"/>
      <c r="E152" s="649"/>
    </row>
    <row r="153" spans="3:5" ht="12.75">
      <c r="C153" s="649"/>
      <c r="D153" s="649"/>
      <c r="E153" s="649"/>
    </row>
    <row r="154" spans="3:5" ht="12.75">
      <c r="C154" s="649"/>
      <c r="D154" s="649"/>
      <c r="E154" s="649"/>
    </row>
    <row r="155" spans="3:5" ht="12.75">
      <c r="C155" s="649"/>
      <c r="D155" s="649"/>
      <c r="E155" s="649"/>
    </row>
    <row r="156" spans="3:5" ht="12.75">
      <c r="C156" s="649"/>
      <c r="D156" s="649"/>
      <c r="E156" s="649"/>
    </row>
    <row r="157" spans="3:5" ht="12.75">
      <c r="C157" s="649"/>
      <c r="D157" s="649"/>
      <c r="E157" s="649"/>
    </row>
    <row r="158" spans="3:5" ht="12.75">
      <c r="C158" s="649"/>
      <c r="D158" s="649"/>
      <c r="E158" s="649"/>
    </row>
    <row r="159" spans="3:5" ht="12.75">
      <c r="C159" s="649"/>
      <c r="D159" s="649"/>
      <c r="E159" s="649"/>
    </row>
    <row r="160" spans="3:5" ht="12.75">
      <c r="C160" s="649"/>
      <c r="D160" s="649"/>
      <c r="E160" s="649"/>
    </row>
    <row r="161" spans="3:5" ht="12.75">
      <c r="C161" s="649"/>
      <c r="D161" s="649"/>
      <c r="E161" s="649"/>
    </row>
    <row r="162" spans="3:5" ht="12.75">
      <c r="C162" s="649"/>
      <c r="D162" s="649"/>
      <c r="E162" s="649"/>
    </row>
    <row r="163" spans="3:5" ht="12.75">
      <c r="C163" s="649"/>
      <c r="D163" s="649"/>
      <c r="E163" s="649"/>
    </row>
    <row r="164" spans="3:5" ht="12.75">
      <c r="C164" s="649"/>
      <c r="D164" s="649"/>
      <c r="E164" s="649"/>
    </row>
    <row r="165" spans="3:5" ht="12.75">
      <c r="C165" s="649"/>
      <c r="D165" s="649"/>
      <c r="E165" s="649"/>
    </row>
    <row r="166" spans="3:5" ht="12.75">
      <c r="C166" s="649"/>
      <c r="D166" s="649"/>
      <c r="E166" s="649"/>
    </row>
    <row r="167" spans="3:5" ht="12.75">
      <c r="C167" s="649"/>
      <c r="D167" s="649"/>
      <c r="E167" s="649"/>
    </row>
    <row r="168" spans="3:5" ht="12.75">
      <c r="C168" s="649"/>
      <c r="D168" s="649"/>
      <c r="E168" s="649"/>
    </row>
    <row r="169" spans="3:5" ht="12.75">
      <c r="C169" s="649"/>
      <c r="D169" s="649"/>
      <c r="E169" s="649"/>
    </row>
    <row r="170" spans="3:5" ht="12.75">
      <c r="C170" s="649"/>
      <c r="D170" s="649"/>
      <c r="E170" s="649"/>
    </row>
    <row r="171" spans="3:5" ht="12.75">
      <c r="C171" s="649"/>
      <c r="D171" s="649"/>
      <c r="E171" s="649"/>
    </row>
    <row r="172" spans="3:5" ht="12.75">
      <c r="C172" s="649"/>
      <c r="D172" s="649"/>
      <c r="E172" s="649"/>
    </row>
    <row r="173" spans="3:5" ht="12.75">
      <c r="C173" s="649"/>
      <c r="D173" s="649"/>
      <c r="E173" s="649"/>
    </row>
    <row r="174" spans="3:5" ht="12.75">
      <c r="C174" s="649"/>
      <c r="D174" s="649"/>
      <c r="E174" s="649"/>
    </row>
    <row r="175" spans="3:5" ht="12.75">
      <c r="C175" s="649"/>
      <c r="D175" s="649"/>
      <c r="E175" s="649"/>
    </row>
    <row r="176" spans="3:5" ht="12.75">
      <c r="C176" s="649"/>
      <c r="D176" s="649"/>
      <c r="E176" s="649"/>
    </row>
    <row r="177" spans="3:5" ht="12.75">
      <c r="C177" s="649"/>
      <c r="D177" s="649"/>
      <c r="E177" s="649"/>
    </row>
    <row r="178" spans="3:5" ht="12.75">
      <c r="C178" s="649"/>
      <c r="D178" s="649"/>
      <c r="E178" s="649"/>
    </row>
    <row r="179" spans="3:5" ht="12.75">
      <c r="C179" s="649"/>
      <c r="D179" s="649"/>
      <c r="E179" s="649"/>
    </row>
    <row r="180" spans="3:5" ht="12.75">
      <c r="C180" s="649"/>
      <c r="D180" s="649"/>
      <c r="E180" s="649"/>
    </row>
    <row r="181" spans="3:5" ht="12.75">
      <c r="C181" s="649"/>
      <c r="D181" s="649"/>
      <c r="E181" s="649"/>
    </row>
    <row r="182" spans="3:5" ht="12.75">
      <c r="C182" s="649"/>
      <c r="D182" s="649"/>
      <c r="E182" s="649"/>
    </row>
    <row r="183" spans="3:5" ht="12.75">
      <c r="C183" s="649"/>
      <c r="D183" s="649"/>
      <c r="E183" s="649"/>
    </row>
    <row r="184" spans="3:5" ht="12.75">
      <c r="C184" s="649"/>
      <c r="D184" s="649"/>
      <c r="E184" s="649"/>
    </row>
    <row r="185" spans="3:5" ht="12.75">
      <c r="C185" s="649"/>
      <c r="D185" s="649"/>
      <c r="E185" s="649"/>
    </row>
    <row r="186" spans="3:5" ht="12.75">
      <c r="C186" s="649"/>
      <c r="D186" s="649"/>
      <c r="E186" s="649"/>
    </row>
    <row r="187" spans="3:5" ht="12.75">
      <c r="C187" s="649"/>
      <c r="D187" s="649"/>
      <c r="E187" s="649"/>
    </row>
    <row r="188" spans="3:5" ht="12.75">
      <c r="C188" s="649"/>
      <c r="D188" s="649"/>
      <c r="E188" s="649"/>
    </row>
    <row r="189" spans="3:5" ht="12.75">
      <c r="C189" s="649"/>
      <c r="D189" s="649"/>
      <c r="E189" s="649"/>
    </row>
    <row r="190" spans="3:5" ht="12.75">
      <c r="C190" s="649"/>
      <c r="D190" s="649"/>
      <c r="E190" s="649"/>
    </row>
    <row r="191" spans="3:5" ht="12.75">
      <c r="C191" s="649"/>
      <c r="D191" s="649"/>
      <c r="E191" s="649"/>
    </row>
    <row r="192" spans="3:5" ht="12.75">
      <c r="C192" s="649"/>
      <c r="D192" s="649"/>
      <c r="E192" s="649"/>
    </row>
    <row r="193" spans="3:5" ht="12.75">
      <c r="C193" s="649"/>
      <c r="D193" s="649"/>
      <c r="E193" s="649"/>
    </row>
    <row r="194" spans="3:5" ht="12.75">
      <c r="C194" s="649"/>
      <c r="D194" s="649"/>
      <c r="E194" s="649"/>
    </row>
    <row r="195" spans="3:5" ht="12.75">
      <c r="C195" s="649"/>
      <c r="D195" s="649"/>
      <c r="E195" s="649"/>
    </row>
    <row r="196" spans="3:5" ht="12.75">
      <c r="C196" s="649"/>
      <c r="D196" s="649"/>
      <c r="E196" s="649"/>
    </row>
    <row r="197" spans="3:5" ht="12.75">
      <c r="C197" s="649"/>
      <c r="D197" s="649"/>
      <c r="E197" s="649"/>
    </row>
    <row r="198" spans="3:5" ht="12.75">
      <c r="C198" s="649"/>
      <c r="D198" s="649"/>
      <c r="E198" s="649"/>
    </row>
    <row r="199" spans="3:5" ht="12.75">
      <c r="C199" s="649"/>
      <c r="D199" s="649"/>
      <c r="E199" s="649"/>
    </row>
    <row r="200" spans="3:5" ht="12.75">
      <c r="C200" s="649"/>
      <c r="D200" s="649"/>
      <c r="E200" s="649"/>
    </row>
    <row r="201" spans="3:5" ht="12.75">
      <c r="C201" s="649"/>
      <c r="D201" s="649"/>
      <c r="E201" s="649"/>
    </row>
    <row r="202" spans="3:5" ht="12.75">
      <c r="C202" s="649"/>
      <c r="D202" s="649"/>
      <c r="E202" s="649"/>
    </row>
    <row r="203" spans="3:5" ht="12.75">
      <c r="C203" s="649"/>
      <c r="D203" s="649"/>
      <c r="E203" s="649"/>
    </row>
    <row r="204" spans="3:5" ht="12.75">
      <c r="C204" s="649"/>
      <c r="D204" s="649"/>
      <c r="E204" s="649"/>
    </row>
    <row r="205" spans="3:5" ht="12.75">
      <c r="C205" s="649"/>
      <c r="D205" s="649"/>
      <c r="E205" s="649"/>
    </row>
    <row r="206" spans="3:5" ht="12.75">
      <c r="C206" s="649"/>
      <c r="D206" s="649"/>
      <c r="E206" s="649"/>
    </row>
    <row r="207" spans="3:5" ht="12.75">
      <c r="C207" s="649"/>
      <c r="D207" s="649"/>
      <c r="E207" s="649"/>
    </row>
    <row r="208" spans="3:5" ht="12.75">
      <c r="C208" s="649"/>
      <c r="D208" s="649"/>
      <c r="E208" s="649"/>
    </row>
    <row r="209" spans="3:5" ht="12.75">
      <c r="C209" s="649"/>
      <c r="D209" s="649"/>
      <c r="E209" s="649"/>
    </row>
    <row r="210" spans="3:5" ht="12.75">
      <c r="C210" s="649"/>
      <c r="D210" s="649"/>
      <c r="E210" s="649"/>
    </row>
    <row r="211" spans="3:5" ht="12.75">
      <c r="C211" s="649"/>
      <c r="D211" s="649"/>
      <c r="E211" s="649"/>
    </row>
    <row r="212" spans="3:5" ht="12.75">
      <c r="C212" s="649"/>
      <c r="D212" s="649"/>
      <c r="E212" s="649"/>
    </row>
    <row r="213" spans="3:5" ht="12.75">
      <c r="C213" s="649"/>
      <c r="D213" s="649"/>
      <c r="E213" s="649"/>
    </row>
    <row r="214" spans="3:5" ht="12.75">
      <c r="C214" s="649"/>
      <c r="D214" s="649"/>
      <c r="E214" s="649"/>
    </row>
    <row r="215" spans="3:5" ht="12.75">
      <c r="C215" s="649"/>
      <c r="D215" s="649"/>
      <c r="E215" s="649"/>
    </row>
    <row r="216" spans="3:5" ht="12.75">
      <c r="C216" s="649"/>
      <c r="D216" s="649"/>
      <c r="E216" s="649"/>
    </row>
    <row r="217" spans="3:5" ht="12.75">
      <c r="C217" s="649"/>
      <c r="D217" s="649"/>
      <c r="E217" s="649"/>
    </row>
    <row r="218" spans="3:5" ht="12.75">
      <c r="C218" s="649"/>
      <c r="D218" s="649"/>
      <c r="E218" s="649"/>
    </row>
    <row r="219" spans="3:5" ht="12.75">
      <c r="C219" s="649"/>
      <c r="D219" s="649"/>
      <c r="E219" s="649"/>
    </row>
    <row r="220" spans="3:5" ht="12.75">
      <c r="C220" s="649"/>
      <c r="D220" s="649"/>
      <c r="E220" s="649"/>
    </row>
    <row r="221" spans="3:5" ht="12.75">
      <c r="C221" s="649"/>
      <c r="D221" s="649"/>
      <c r="E221" s="649"/>
    </row>
    <row r="222" spans="3:5" ht="12.75">
      <c r="C222" s="649"/>
      <c r="D222" s="649"/>
      <c r="E222" s="649"/>
    </row>
    <row r="223" spans="3:5" ht="12.75">
      <c r="C223" s="649"/>
      <c r="D223" s="649"/>
      <c r="E223" s="649"/>
    </row>
    <row r="224" spans="3:5" ht="12.75">
      <c r="C224" s="649"/>
      <c r="D224" s="649"/>
      <c r="E224" s="649"/>
    </row>
    <row r="225" spans="3:5" ht="12.75">
      <c r="C225" s="649"/>
      <c r="D225" s="649"/>
      <c r="E225" s="649"/>
    </row>
    <row r="226" spans="3:5" ht="12.75">
      <c r="C226" s="649"/>
      <c r="D226" s="649"/>
      <c r="E226" s="649"/>
    </row>
    <row r="227" spans="3:5" ht="12.75">
      <c r="C227" s="649"/>
      <c r="D227" s="649"/>
      <c r="E227" s="649"/>
    </row>
    <row r="228" spans="3:5" ht="12.75">
      <c r="C228" s="649"/>
      <c r="D228" s="649"/>
      <c r="E228" s="649"/>
    </row>
    <row r="229" spans="3:5" ht="12.75">
      <c r="C229" s="649"/>
      <c r="D229" s="649"/>
      <c r="E229" s="649"/>
    </row>
    <row r="230" spans="3:5" ht="12.75">
      <c r="C230" s="649"/>
      <c r="D230" s="649"/>
      <c r="E230" s="649"/>
    </row>
    <row r="231" spans="3:5" ht="12.75">
      <c r="C231" s="649"/>
      <c r="D231" s="649"/>
      <c r="E231" s="649"/>
    </row>
    <row r="232" spans="3:5" ht="12.75">
      <c r="C232" s="649"/>
      <c r="D232" s="649"/>
      <c r="E232" s="649"/>
    </row>
    <row r="233" spans="3:5" ht="12.75">
      <c r="C233" s="649"/>
      <c r="D233" s="649"/>
      <c r="E233" s="649"/>
    </row>
    <row r="234" spans="3:5" ht="12.75">
      <c r="C234" s="649"/>
      <c r="D234" s="649"/>
      <c r="E234" s="649"/>
    </row>
    <row r="235" spans="3:5" ht="12.75">
      <c r="C235" s="649"/>
      <c r="D235" s="649"/>
      <c r="E235" s="649"/>
    </row>
    <row r="236" spans="3:5" ht="12.75">
      <c r="C236" s="649"/>
      <c r="D236" s="649"/>
      <c r="E236" s="649"/>
    </row>
    <row r="237" spans="3:5" ht="12.75">
      <c r="C237" s="649"/>
      <c r="D237" s="649"/>
      <c r="E237" s="649"/>
    </row>
    <row r="238" spans="3:5" ht="12.75">
      <c r="C238" s="649"/>
      <c r="D238" s="649"/>
      <c r="E238" s="649"/>
    </row>
    <row r="239" spans="3:5" ht="12.75">
      <c r="C239" s="649"/>
      <c r="D239" s="649"/>
      <c r="E239" s="649"/>
    </row>
    <row r="240" spans="3:5" ht="12.75">
      <c r="C240" s="649"/>
      <c r="D240" s="649"/>
      <c r="E240" s="649"/>
    </row>
    <row r="241" spans="3:5" ht="12.75">
      <c r="C241" s="649"/>
      <c r="D241" s="649"/>
      <c r="E241" s="649"/>
    </row>
    <row r="242" spans="3:5" ht="12.75">
      <c r="C242" s="649"/>
      <c r="D242" s="649"/>
      <c r="E242" s="649"/>
    </row>
    <row r="243" spans="3:5" ht="12.75">
      <c r="C243" s="649"/>
      <c r="D243" s="649"/>
      <c r="E243" s="649"/>
    </row>
    <row r="244" spans="3:5" ht="12.75">
      <c r="C244" s="649"/>
      <c r="D244" s="649"/>
      <c r="E244" s="649"/>
    </row>
    <row r="245" spans="3:5" ht="12.75">
      <c r="C245" s="649"/>
      <c r="D245" s="649"/>
      <c r="E245" s="649"/>
    </row>
    <row r="246" spans="3:5" ht="12.75">
      <c r="C246" s="649"/>
      <c r="D246" s="649"/>
      <c r="E246" s="649"/>
    </row>
  </sheetData>
  <sheetProtection/>
  <mergeCells count="10">
    <mergeCell ref="A42:C42"/>
    <mergeCell ref="F42:K42"/>
    <mergeCell ref="A2:K2"/>
    <mergeCell ref="A3:K3"/>
    <mergeCell ref="A5:A6"/>
    <mergeCell ref="B5:B6"/>
    <mergeCell ref="C5:C6"/>
    <mergeCell ref="D5:E5"/>
    <mergeCell ref="F5:G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"Электротехнический комплекс"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kolishnitzina</dc:creator>
  <cp:keywords/>
  <dc:description/>
  <cp:lastModifiedBy>Колышницына Наталья Владимировна</cp:lastModifiedBy>
  <cp:lastPrinted>2020-04-17T10:44:50Z</cp:lastPrinted>
  <dcterms:created xsi:type="dcterms:W3CDTF">2008-03-31T04:35:59Z</dcterms:created>
  <dcterms:modified xsi:type="dcterms:W3CDTF">2020-11-05T10:10:12Z</dcterms:modified>
  <cp:category/>
  <cp:version/>
  <cp:contentType/>
  <cp:contentStatus/>
</cp:coreProperties>
</file>