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50" windowHeight="11565" tabRatio="968" activeTab="0"/>
  </bookViews>
  <sheets>
    <sheet name="тит лист" sheetId="1" r:id="rId1"/>
    <sheet name="Расходы на строительство" sheetId="2" r:id="rId2"/>
    <sheet name="Решение" sheetId="3" r:id="rId3"/>
    <sheet name="Стандарт. тариф. ставки" sheetId="4" r:id="rId4"/>
    <sheet name="Приложение 2" sheetId="5" r:id="rId5"/>
    <sheet name="Приложение 3" sheetId="6" r:id="rId6"/>
    <sheet name="Приложение 4" sheetId="7" r:id="rId7"/>
    <sheet name="расходы (2020) " sheetId="8" r:id="rId8"/>
    <sheet name="ГСМ" sheetId="9" r:id="rId9"/>
    <sheet name="расстояния" sheetId="10" r:id="rId10"/>
    <sheet name="стоимость мероприятий" sheetId="11" r:id="rId11"/>
    <sheet name="нвв" sheetId="12" r:id="rId12"/>
    <sheet name="Фактические данные о ЛЭП" sheetId="13" r:id="rId13"/>
    <sheet name="Факт о прис ПС" sheetId="14" r:id="rId14"/>
    <sheet name="Тех присоед за тек год" sheetId="15" r:id="rId15"/>
    <sheet name="заявки на тек год" sheetId="16" r:id="rId16"/>
    <sheet name="техприсоединения 2022" sheetId="17" r:id="rId17"/>
    <sheet name="расходы факт 2021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8">'ГСМ'!$A$1:$H$16</definedName>
    <definedName name="_xlnm.Print_Area" localSheetId="11">'нвв'!$A$1:$F$31</definedName>
    <definedName name="_xlnm.Print_Area" localSheetId="4">'Приложение 2'!$A$1:$F$34</definedName>
    <definedName name="_xlnm.Print_Area" localSheetId="5">'Приложение 3'!$A$1:$H$33</definedName>
    <definedName name="_xlnm.Print_Area" localSheetId="6">'Приложение 4'!$A$1:$H$49</definedName>
    <definedName name="_xlnm.Print_Area" localSheetId="9">'расстояния'!$A$1:$E$18</definedName>
    <definedName name="_xlnm.Print_Area" localSheetId="7">'расходы (2020) '!$A$1:$V$153</definedName>
    <definedName name="_xlnm.Print_Area" localSheetId="17">'расходы факт 2021'!$A$1:$H$20</definedName>
    <definedName name="_xlnm.Print_Area" localSheetId="14">'Тех присоед за тек год'!$A$1:$K$24</definedName>
  </definedNames>
  <calcPr fullCalcOnLoad="1"/>
</workbook>
</file>

<file path=xl/sharedStrings.xml><?xml version="1.0" encoding="utf-8"?>
<sst xmlns="http://schemas.openxmlformats.org/spreadsheetml/2006/main" count="1268" uniqueCount="645">
  <si>
    <t>N п/п</t>
  </si>
  <si>
    <t>Наименование мероприятий</t>
  </si>
  <si>
    <t>Информация для расчета стандартизированной тарифной ставки С1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</si>
  <si>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</si>
  <si>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</si>
  <si>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</si>
  <si>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Подготовка и выдача сетевой организацией технических условий Заявителю</t>
  </si>
  <si>
    <t>Проверка сетевой организацией выполнения Заявителем</t>
  </si>
  <si>
    <t>Расходы на одно присоединение (руб. на одно ТП)</t>
  </si>
  <si>
    <t>Показатели</t>
  </si>
  <si>
    <t>Расходы по выполнению мероприятий по технологическому присоединению, всего</t>
  </si>
  <si>
    <t>Вспомогательные материалы</t>
  </si>
  <si>
    <t>Энергия на хозяйственные нужды</t>
  </si>
  <si>
    <t>Оплата труда ППП</t>
  </si>
  <si>
    <t>Отчисления на страховые взносы</t>
  </si>
  <si>
    <t>Прочие расходы, всего, в том числе:</t>
  </si>
  <si>
    <t>услуги связи</t>
  </si>
  <si>
    <t>расходы на охрану и пожарную безопасность</t>
  </si>
  <si>
    <t>расходы на информационное обслуживание, иные услуги, связанные с деятельностью по технологическому присоединению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</si>
  <si>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</si>
  <si>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</si>
  <si>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расходы, всего</t>
  </si>
  <si>
    <t xml:space="preserve"> работы и услуги производственного характера</t>
  </si>
  <si>
    <t>расходы на услуги банков</t>
  </si>
  <si>
    <t>1.1</t>
  </si>
  <si>
    <t>1.2</t>
  </si>
  <si>
    <t>1.3</t>
  </si>
  <si>
    <t>1.4</t>
  </si>
  <si>
    <t>1.5</t>
  </si>
  <si>
    <t>1.5.1</t>
  </si>
  <si>
    <t>1.5.2</t>
  </si>
  <si>
    <t>1.5.3</t>
  </si>
  <si>
    <t>1.5.3.1</t>
  </si>
  <si>
    <t>1.5.3.2</t>
  </si>
  <si>
    <t>1.5.3.3</t>
  </si>
  <si>
    <t>1.5.3.4</t>
  </si>
  <si>
    <t>1.5.3.5</t>
  </si>
  <si>
    <t>1.6</t>
  </si>
  <si>
    <t>1.6.1</t>
  </si>
  <si>
    <t>1.6.2</t>
  </si>
  <si>
    <t>1.6.3</t>
  </si>
  <si>
    <t>1.6.4</t>
  </si>
  <si>
    <t xml:space="preserve"> налоги и сборы, уменьшающие налогооблагаемую базу на прибыль организаций, всего</t>
  </si>
  <si>
    <t xml:space="preserve"> работы и услуги непроизводственного характера, в том числе:</t>
  </si>
  <si>
    <t>%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</si>
  <si>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</si>
  <si>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</si>
  <si>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1. Подготовка и выдача сетевой организацией технических условий Заявителю</t>
  </si>
  <si>
    <t>2. Проверка сетевой организацией выполнения Заявителем</t>
  </si>
  <si>
    <t>на выполнение мероприятий по технологическому</t>
  </si>
  <si>
    <t>присоединению, предусмотренным подпунктами "а" и "в"</t>
  </si>
  <si>
    <t>Расходы АО "Электротехнический комплекс"</t>
  </si>
  <si>
    <t>фактических расходов на выполнение мероприятий</t>
  </si>
  <si>
    <t>по технологическому присоединению, предусмотренных</t>
  </si>
  <si>
    <t>подпунктами "а" и "в" пункта 16 Методических указаний,</t>
  </si>
  <si>
    <t>Расчет АО "Электротехнический комплекс"</t>
  </si>
  <si>
    <t>Результаты</t>
  </si>
  <si>
    <t>расчета экономически обоснованных расходов на выполнение</t>
  </si>
  <si>
    <t>мероприятий по технологическому присоединению,</t>
  </si>
  <si>
    <t>предусмотренных подпунктами "а" и "в" пункта 16</t>
  </si>
  <si>
    <t>Методических указаний</t>
  </si>
  <si>
    <t>Данные за 2015 год</t>
  </si>
  <si>
    <t>Данные за 2014 год</t>
  </si>
  <si>
    <t>рублей</t>
  </si>
  <si>
    <t xml:space="preserve">рублей </t>
  </si>
  <si>
    <t>пункта 16 Методических указаний, за ____ г.</t>
  </si>
  <si>
    <t>Данные за 2017 год</t>
  </si>
  <si>
    <t>№ п.п.</t>
  </si>
  <si>
    <t>Перечень работ</t>
  </si>
  <si>
    <t>Должность</t>
  </si>
  <si>
    <t>Трудозатраты, час.</t>
  </si>
  <si>
    <t>Оклад, руб.</t>
  </si>
  <si>
    <t>Месячный фонд рабочего времени, час.</t>
  </si>
  <si>
    <t>Среднечасовая тарифная ставка; руб.</t>
  </si>
  <si>
    <t>Выплаты, связанные с режимом работы, с условиями труда</t>
  </si>
  <si>
    <t>Премия руб.</t>
  </si>
  <si>
    <t>Вознаграждение за выслугу лет</t>
  </si>
  <si>
    <t>Выплаты по итогам года</t>
  </si>
  <si>
    <t>Районный коэф-т гр.(7+8+9+10) *0,15; руб.</t>
  </si>
  <si>
    <t>Итого среднечасовая оплата труда  гр. 7+8+9+10+11+12;  руб.</t>
  </si>
  <si>
    <t>итого оплата труда по мероприятию, гр.13*гр.4</t>
  </si>
  <si>
    <t xml:space="preserve">Отчисления на соц. страх.  </t>
  </si>
  <si>
    <t>Всего оплата труда, гр.(13+14)*гр3 руб.</t>
  </si>
  <si>
    <t>Итого расходы на 1 заявку, руб.</t>
  </si>
  <si>
    <t>%</t>
  </si>
  <si>
    <t>руб.</t>
  </si>
  <si>
    <t>1.</t>
  </si>
  <si>
    <t>Подготовка и выдача сетевой организацией технических условий Заявителю (ТУ)</t>
  </si>
  <si>
    <t>1.1.</t>
  </si>
  <si>
    <t>Прием заявки, ознакомление с заявкой,  проверка прилагаемых документов</t>
  </si>
  <si>
    <t>Заместитель директора по эксплуатации электрооборудования ПС и ЭС</t>
  </si>
  <si>
    <t>Заместитель главного инженера - начальник службы ремонта электрооборудования ПС и ЭС</t>
  </si>
  <si>
    <t>Ведущий инженер по ремонтам производственно-технического отдела</t>
  </si>
  <si>
    <t>Заработная плата</t>
  </si>
  <si>
    <t>Отчисления на социальные нужды</t>
  </si>
  <si>
    <t>Общехозяйственные расходы</t>
  </si>
  <si>
    <t>Итого расходы</t>
  </si>
  <si>
    <t>1.2.</t>
  </si>
  <si>
    <t>Запрос о технической возможности присоединения объекта</t>
  </si>
  <si>
    <t>Начальник оперативно-диспетчерской службы</t>
  </si>
  <si>
    <t>1.3.</t>
  </si>
  <si>
    <t xml:space="preserve">Выезд на место. Определение предполагаемой точки присоединения. Определение схемы электроснабжения. Определение растояния от границ участка Заявителя до ближайшего участка электрической сети, имеющей класс напряжения указанный в заявке. </t>
  </si>
  <si>
    <t>Начальник оперативно-диспетчерской службы (время работы на объекте)</t>
  </si>
  <si>
    <t>Начальник оперативно-диспетчерской службы (время на дорогу)</t>
  </si>
  <si>
    <t>Старший мастер службы подстанций (время работы на объекте)</t>
  </si>
  <si>
    <t>Старший мастер службы подстанций  (время на дорогу)</t>
  </si>
  <si>
    <t>Водитель автомобиля</t>
  </si>
  <si>
    <t>Расходы на бензин</t>
  </si>
  <si>
    <t>1.4.</t>
  </si>
  <si>
    <t>Подготовка предложения для выдачи ТУ</t>
  </si>
  <si>
    <t>1.5.</t>
  </si>
  <si>
    <t>Рассмотрение заявки на техническом совещании, составление протокола</t>
  </si>
  <si>
    <t>Начальник электротехнической лаборатории</t>
  </si>
  <si>
    <t>1.6.</t>
  </si>
  <si>
    <t>Подготовка проекта технических условий</t>
  </si>
  <si>
    <t>1.7.</t>
  </si>
  <si>
    <t>Корректировка и согласование тех. условий в МРСК-Сибири и РДУ (с выездом в эти организации</t>
  </si>
  <si>
    <t>Заместитель директора по эксплуатации электрооборудования ПС и ЭС (время на выполнение работ)</t>
  </si>
  <si>
    <t>Заместитель директора по эксплуатации электрооборудования ПС и ЭС (время на дорогу)</t>
  </si>
  <si>
    <t>Ведущий инженер по ремонтам производственно-технического отдела (время на выполнение работ)</t>
  </si>
  <si>
    <t>Ведущий инженер по ремонтам производственно-технического отдела (время на дорогу)</t>
  </si>
  <si>
    <t>1.8.</t>
  </si>
  <si>
    <t>Расчет платы за технологическое присоединение и ее согласование в РЭК Омской обсласти (с выездом в эту организацию)</t>
  </si>
  <si>
    <t>Ведущий специалист по реализации электрической энергии отдела сбыта</t>
  </si>
  <si>
    <t>Заместитель начальника планово-экономического отдела (время на выполнение работ)</t>
  </si>
  <si>
    <t>Заместитель начальника планово-экономического отдела (время на дорогу)</t>
  </si>
  <si>
    <t>1.9.</t>
  </si>
  <si>
    <t>Подготовка  проекта договора об осуществлении технологического присоединения, его согласование и подписание уполномоченными лицами</t>
  </si>
  <si>
    <t>Итого п. 1.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</si>
  <si>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</si>
  <si>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</t>
  </si>
  <si>
    <t>Проверка сетевой организацией выполненния заявителем ТУ</t>
  </si>
  <si>
    <t>4.1.</t>
  </si>
  <si>
    <t>Проверка проектно-сметной документации, ее согласование</t>
  </si>
  <si>
    <t>4.2.</t>
  </si>
  <si>
    <t>Проверка выполненных работ согласно ТУ, составление акта осмотра присоединяемых электроустановок (с выездом на место)</t>
  </si>
  <si>
    <t>Мастер службы подстанций (время работы на объекте)</t>
  </si>
  <si>
    <t>Мастер службы подстанций  (время на дорогу)</t>
  </si>
  <si>
    <t>Мастер электротехнической лаборатории (время работы на объекте)</t>
  </si>
  <si>
    <t>Мастер электротехнической лаборатории (время на дорогу)</t>
  </si>
  <si>
    <t>Начальник электротехнической лаборатории (время работы на объекте)</t>
  </si>
  <si>
    <t>Начальник электротехнической лаборатории (время на дорогу)</t>
  </si>
  <si>
    <t>Старший мастер электротехнической лаборатории (время работы на объекте)</t>
  </si>
  <si>
    <t>Старший мастер электротехнической лаборатории (время на дорогу)</t>
  </si>
  <si>
    <t>Заместитель главного инженера - начальник службы ремонта электрооборудования ПС и ЭС (время работы на объекте)</t>
  </si>
  <si>
    <t>Заместитель главного инженера - начальник службы ремонта электрооборудования ПС и ЭС (время на дорогу)</t>
  </si>
  <si>
    <t>Итого п.4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</si>
  <si>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</si>
  <si>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5.1.</t>
  </si>
  <si>
    <t>Выезд на место технологического присоединения для соправождения должностного лица органа федерального государственного энергетического надзора, составление акта допуска в эксплуатацию</t>
  </si>
  <si>
    <t>Заместитель главного инженера - начальник службы ремонта электрооборудования ПС и ЭС (время присутствия на объекте)</t>
  </si>
  <si>
    <t>Итого по п.5</t>
  </si>
  <si>
    <t>6.</t>
  </si>
  <si>
    <t>Фактическое действие по присоединению и обеспечению работы Устройств в электрической сети</t>
  </si>
  <si>
    <t>6.1.</t>
  </si>
  <si>
    <t>Выполнение фактических действий по подключению энергопринимающих устройств Заявителя до момента подачи напряжения (коммутационные аппараты отключены) и фактический прием (подача напряжения и мощности  на объекты заявителя, фиксация коммутационного аппарата</t>
  </si>
  <si>
    <t>Мастер службы подстанций (время на дорогу)</t>
  </si>
  <si>
    <t>Электромонтер по ремонту и обслуживанию электрооборудования 5 разряда - 2 чел.  (время работы на объекте)</t>
  </si>
  <si>
    <t>Электромонтер по ремонту и обслуживанию электрооборудования 5 разряда - 2 чел.  (время на дорогу)</t>
  </si>
  <si>
    <t>6.2.</t>
  </si>
  <si>
    <t>Подготовка и направление Заявителю акта об осуществлении технологического присоединения, акта границ ответственности и балансовой принадлежности</t>
  </si>
  <si>
    <t>Итого по п.6</t>
  </si>
  <si>
    <t>Всего по технологическому присоединению</t>
  </si>
  <si>
    <t>Автомобиль</t>
  </si>
  <si>
    <t>тип топлива</t>
  </si>
  <si>
    <t>средний пробег, км.</t>
  </si>
  <si>
    <t>норма расхода бензина, л/100 км</t>
  </si>
  <si>
    <t>расход, л</t>
  </si>
  <si>
    <t>расходы на бензин, руб. (без НДС)</t>
  </si>
  <si>
    <t>марка</t>
  </si>
  <si>
    <t>гос №</t>
  </si>
  <si>
    <t>Peugeot-Partner</t>
  </si>
  <si>
    <t>P 899 OA</t>
  </si>
  <si>
    <t>ИТОГО</t>
  </si>
  <si>
    <t>Начальник ПЭО</t>
  </si>
  <si>
    <t>М.С. Мироненко</t>
  </si>
  <si>
    <t xml:space="preserve">Подстанции </t>
  </si>
  <si>
    <t>Адрес объекта</t>
  </si>
  <si>
    <t>Расстояние от офиса ОАО "ЭТК" до подстанции, км.</t>
  </si>
  <si>
    <t xml:space="preserve">Количество присоединяемых объектов  </t>
  </si>
  <si>
    <t>Среднее расстояние до объекта и обратно, км.</t>
  </si>
  <si>
    <t xml:space="preserve">ВОС </t>
  </si>
  <si>
    <t>ул. Комбинатская, д. 50</t>
  </si>
  <si>
    <t xml:space="preserve">ТП-8869 </t>
  </si>
  <si>
    <t>ул. Кемеровская, д. 4/3</t>
  </si>
  <si>
    <t>Комсомольская</t>
  </si>
  <si>
    <t>пр. Мира, 197</t>
  </si>
  <si>
    <t xml:space="preserve">Кислородная </t>
  </si>
  <si>
    <t>ул. 22-го Партсъезда, 97</t>
  </si>
  <si>
    <t>МРСК Сибири</t>
  </si>
  <si>
    <t>ул. Некрасова, 1</t>
  </si>
  <si>
    <t>РДУ</t>
  </si>
  <si>
    <t>ул. Партизанская, 10</t>
  </si>
  <si>
    <t>РЭК Омской области</t>
  </si>
  <si>
    <t>ул. Красногвардейская, 42</t>
  </si>
  <si>
    <t>Итого</t>
  </si>
  <si>
    <t>Начальник планово-экономического отдела</t>
  </si>
  <si>
    <t>№ п/п</t>
  </si>
  <si>
    <t>Разбивка НВВ по мероприятиям, на 1 техприсоединение,           ( руб.)</t>
  </si>
  <si>
    <t>Количество технологических присоединений (шт)</t>
  </si>
  <si>
    <t>Разбивка НВВ по мероприятиям, на все техприсоединение,           ( руб.)</t>
  </si>
  <si>
    <t>Объем максимальной мощности                    (кВт)</t>
  </si>
  <si>
    <t>Ставки для расчета платы по каждому мероприятию (руб/кВт)</t>
  </si>
  <si>
    <t>1</t>
  </si>
  <si>
    <t>Прием заявки, ознакомление с заявкой и проверка прилагаемых документов</t>
  </si>
  <si>
    <t>Выезд на место. Определение предполагаемой точки присединения. Определение схемы электроснабжения. Определение расстояния от границ участка Заявителя до ближайшего участка электрической сети, имеющей класс напряжения, указанный в заявке</t>
  </si>
  <si>
    <t xml:space="preserve">Подготовка предложения для выдачи ТУ </t>
  </si>
  <si>
    <t>1.7</t>
  </si>
  <si>
    <t>Корректировка и согласование тех. условий в МРСК-Сибири и РДУ (с выездом в эти организации)</t>
  </si>
  <si>
    <t>1.8</t>
  </si>
  <si>
    <t>Расчет платы за технологическое присоединение и ее согласование в РЭК Омской области (с выездом в эту организацию)</t>
  </si>
  <si>
    <t>1.9</t>
  </si>
  <si>
    <t>Подготовка проекта договора об осуществлении технологического присоединения, его согласование и подписание уполномоченными лицами</t>
  </si>
  <si>
    <t>2.</t>
  </si>
  <si>
    <t>Х</t>
  </si>
  <si>
    <t>2.1.</t>
  </si>
  <si>
    <t xml:space="preserve">Разработка проектной документации </t>
  </si>
  <si>
    <t>2.1.1.</t>
  </si>
  <si>
    <t>Разработка проектной документации для организации устройств релейной защиты и ПА, организация связи, компенсация емкостных токов</t>
  </si>
  <si>
    <t>2.1.2.</t>
  </si>
  <si>
    <t>2.2.</t>
  </si>
  <si>
    <t>Разработка проектной документации для строительства комплектных трансформаторных подстанций (КТП), распределительных  трансформаторных подстанций (РТП) с классом напряжения до 35 кВ</t>
  </si>
  <si>
    <t>2.2.1.</t>
  </si>
  <si>
    <t>разработка проектной документации для строительства ТП-10/4 кВ</t>
  </si>
  <si>
    <t>Автотранспортные услуги, услуги сторонних организаций</t>
  </si>
  <si>
    <t>2.3.</t>
  </si>
  <si>
    <t>Расходы из прибыли</t>
  </si>
  <si>
    <t>3.</t>
  </si>
  <si>
    <t xml:space="preserve">Выполнение сетевой организацией мероприятий, связанных со строительством "последней мили"                   </t>
  </si>
  <si>
    <t>3.1.</t>
  </si>
  <si>
    <t>Строительство воздушных и линий</t>
  </si>
  <si>
    <t>3.2.</t>
  </si>
  <si>
    <t>Строительство кабельных линий</t>
  </si>
  <si>
    <t>3.3.</t>
  </si>
  <si>
    <t>Строительство пунктов секционирования</t>
  </si>
  <si>
    <t>3.4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</si>
  <si>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</si>
  <si>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3.5.</t>
  </si>
  <si>
    <t>Строительство центров питания, подстанций уровнем напряжения 35 кВ и выше (ПС)</t>
  </si>
  <si>
    <t>4.</t>
  </si>
  <si>
    <t>Проверка сетевой организацией  выполнения заявителем ТУ, всего, в том числе :</t>
  </si>
  <si>
    <t>5.</t>
  </si>
  <si>
    <t>Выезд на место технологического присоединения для соправождения должностного лица органа федерального государственного энергетического надзора</t>
  </si>
  <si>
    <t>Фактические действия по присоединению и обеспечению работы Устройств в электрической сети, всего, в том числе:</t>
  </si>
  <si>
    <t>Выполнение фактических действий по подключению энергопринимающих устройств Заявителя до момента подачи напряжения (коммутационные аппараты отключены) и фактический прием (подача напряжения и мощности  на объекты заявителя фиксация коммутационного аппарата в положение "включено")</t>
  </si>
  <si>
    <t xml:space="preserve">Итого расходы на технологическое  присоединение </t>
  </si>
  <si>
    <t>тыс. руб</t>
  </si>
  <si>
    <t xml:space="preserve"> Показатели</t>
  </si>
  <si>
    <t>Плановые показатели на следующий период (на 1 тех. присоединение)</t>
  </si>
  <si>
    <t>Количество технологических присоединений (среднее) (шт)</t>
  </si>
  <si>
    <t>Плановые показатели на следующий период, всего</t>
  </si>
  <si>
    <t>Расходы  по выполнению мероприятий по технологическому присоединению,  всего</t>
  </si>
  <si>
    <t>Страховые взносы</t>
  </si>
  <si>
    <t>Прочие расходы, всего, в том числе :</t>
  </si>
  <si>
    <t>1.5.1.</t>
  </si>
  <si>
    <t>работы и услуги  производственного характера</t>
  </si>
  <si>
    <t>1.5.2.</t>
  </si>
  <si>
    <t>налоги и сборы, уменьшающие налогооблагаемую базу на прибыль организаций, всего</t>
  </si>
  <si>
    <t>работы и услуги непроизводственного характера, в т. ч.</t>
  </si>
  <si>
    <t>1.5.3.1.</t>
  </si>
  <si>
    <t>1.5.3.2.</t>
  </si>
  <si>
    <t>1.5.3.3.</t>
  </si>
  <si>
    <t>расходы на информационноое обслуживание, консультационные и юридические услуги</t>
  </si>
  <si>
    <t>1.5.3.4.</t>
  </si>
  <si>
    <t>1.5.3.5.</t>
  </si>
  <si>
    <t>Внереализационные расходы, всего, в том числе:</t>
  </si>
  <si>
    <t>1.6.1.</t>
  </si>
  <si>
    <t>1.6.2.</t>
  </si>
  <si>
    <t>1.6.3.</t>
  </si>
  <si>
    <t>СН 2</t>
  </si>
  <si>
    <t>НН</t>
  </si>
  <si>
    <t>СН 1</t>
  </si>
  <si>
    <t xml:space="preserve">Средневзвешенный тариф </t>
  </si>
  <si>
    <t>дата подачи заявки</t>
  </si>
  <si>
    <t>Заявитель</t>
  </si>
  <si>
    <t>мощность, кВт</t>
  </si>
  <si>
    <t>Объект ЭТК</t>
  </si>
  <si>
    <t>срок присоединения</t>
  </si>
  <si>
    <t>Результат</t>
  </si>
  <si>
    <t>Причина обращения</t>
  </si>
  <si>
    <t>Статус обращения (план/осуществлено/отказ)</t>
  </si>
  <si>
    <t>С1</t>
  </si>
  <si>
    <t>Мероприятия, включаемые в состав платы за технологическое присоединение к электрическим сетям в зависимости от способа технологического присоединения по форме Приложения N 1 к Методическим указаниям по определению размера платы за технологическое присоединение к электрическим сетям, утвержденным Приказом ФСТ России от 11 сентября 2012 года N 209-э/1</t>
  </si>
  <si>
    <t>Дополнит. затраты на счет передачи ЭЭ (выпадающие)</t>
  </si>
  <si>
    <t xml:space="preserve">Ст-ть мер по расширению сетей, осущ.за счет передачи ЭЭ., руб, без НДС </t>
  </si>
  <si>
    <t>Подготовка и выдача ТУ</t>
  </si>
  <si>
    <t>Согласование ТУ с СистОпер или ССО</t>
  </si>
  <si>
    <t>Проект "последней мили"</t>
  </si>
  <si>
    <t>Строительство последней мили</t>
  </si>
  <si>
    <t>Подключение к устр.ПВА (расчет уставок)</t>
  </si>
  <si>
    <t>Проверка выполнения ТУ</t>
  </si>
  <si>
    <t>Участие ЭТК в осмотре РТН</t>
  </si>
  <si>
    <t>Участие СистОпер в осмотре</t>
  </si>
  <si>
    <t>Фактическое присоединение</t>
  </si>
  <si>
    <t>стоимость техприсоединения</t>
  </si>
  <si>
    <t>ВЛ</t>
  </si>
  <si>
    <t>КЛ</t>
  </si>
  <si>
    <t>Пункты секционирования</t>
  </si>
  <si>
    <t>КТП,ТП,РТП</t>
  </si>
  <si>
    <t>ПС более 35кВ</t>
  </si>
  <si>
    <t>в работе, договор ТП</t>
  </si>
  <si>
    <t>план</t>
  </si>
  <si>
    <t>увеличение мощности</t>
  </si>
  <si>
    <t>ОмскВодоканал</t>
  </si>
  <si>
    <t>АО "Омскэлектро" (договор № 2 от 26.03.15)</t>
  </si>
  <si>
    <t>АО "Омскэлектро" (договор № 6 от 21.07.15)</t>
  </si>
  <si>
    <t>Бабиков И.Ф. (договор № 21 от 30.06.16)</t>
  </si>
  <si>
    <t>ОАО "Омскводоканал" (договор № 19/2016 от 19.04.16)</t>
  </si>
  <si>
    <t>СНТ Иртыш-1 (договор б/н от 18.09.17)</t>
  </si>
  <si>
    <t>Тужиков Д.В. (договор № 25 от 27.10.16)</t>
  </si>
  <si>
    <t>АО "Омскэлектро" (договор № 12 от 11.12.15)</t>
  </si>
  <si>
    <t>2019 год</t>
  </si>
  <si>
    <t>2017 год</t>
  </si>
  <si>
    <t>2016 год</t>
  </si>
  <si>
    <t>2018 год</t>
  </si>
  <si>
    <t>Данные за 2018 год</t>
  </si>
  <si>
    <t>ИП Фомичёв А.Н. (договор № 27/2017 от 18.09.17)</t>
  </si>
  <si>
    <t>АО "Омскэлектро" (договор № 10 от 16.10.15)</t>
  </si>
  <si>
    <t>2020 год</t>
  </si>
  <si>
    <t>№</t>
  </si>
  <si>
    <t>вх № ЭТК</t>
  </si>
  <si>
    <t>договор ТП</t>
  </si>
  <si>
    <t>Кацман</t>
  </si>
  <si>
    <t>Комсомольская яч.32</t>
  </si>
  <si>
    <t>ТП-13 ВОС</t>
  </si>
  <si>
    <t>бензин А-92</t>
  </si>
  <si>
    <t>Наименование контрагента</t>
  </si>
  <si>
    <t>Наименование мероприятия</t>
  </si>
  <si>
    <t>Дата акта по технологическому присоединению</t>
  </si>
  <si>
    <t>Договор</t>
  </si>
  <si>
    <t>Всего</t>
  </si>
  <si>
    <t>Проверка сетевой организацией выполнения Заявителем ТУ</t>
  </si>
  <si>
    <t>в т.ч.</t>
  </si>
  <si>
    <t>оплата труда</t>
  </si>
  <si>
    <t>отчисления с ФОТ</t>
  </si>
  <si>
    <t>прочие</t>
  </si>
  <si>
    <t>часы</t>
  </si>
  <si>
    <t>ФАКТИЧЕСКИЕ СРЕДНИЕ ДАННЫЕ</t>
  </si>
  <si>
    <t>о длине линий электропередачи и об 
объемах максимальной мощности за 3 предыдущих года по каждому мероприятию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</si>
  <si>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(тыс. рублей)
</t>
  </si>
  <si>
    <t xml:space="preserve">Длина воздушных и кабельных линий электропередачи на i-м уровне напряжения, фактически построенных за последние 3 года (км)
</t>
  </si>
  <si>
    <t>Объем мощности, введенной в основные фонды за 3 предыдущих года (кВт)</t>
  </si>
  <si>
    <t>Строительство кабельных линий электропередачи:</t>
  </si>
  <si>
    <t>0,4 кВ</t>
  </si>
  <si>
    <t xml:space="preserve"> 1-20 кВ</t>
  </si>
  <si>
    <t>35 кВ</t>
  </si>
  <si>
    <t>Строительство воздушных линий электропередачи:</t>
  </si>
  <si>
    <t>ИНФОРМАЦИЯ</t>
  </si>
  <si>
    <t>об осуществлении технологического присоединения по договорам, заключенным за текущий год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</si>
  <si>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</si>
  <si>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</si>
  <si>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</si>
  <si>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</si>
  <si>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</si>
  <si>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</si>
  <si>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</si>
  <si>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</si>
  <si>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</si>
  <si>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</si>
  <si>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</si>
  <si>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</si>
  <si>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</si>
  <si>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</si>
  <si>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</si>
  <si>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</si>
  <si>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</si>
  <si>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</si>
  <si>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о поданых заявках на технологическое присоединение за текущий год</t>
  </si>
  <si>
    <t>ПРОГНОЗНЫЕ СВЕДЕНИЯ</t>
  </si>
  <si>
    <t>о расходах за технологическое присоединение</t>
  </si>
  <si>
    <t>АО "Электротехнический комплекс"</t>
  </si>
  <si>
    <t>на</t>
  </si>
  <si>
    <t>год</t>
  </si>
  <si>
    <t xml:space="preserve">1. Полное наименование </t>
  </si>
  <si>
    <t>Акционерное общество "Электротехнический комплекс"</t>
  </si>
  <si>
    <t xml:space="preserve">2. Сокращенное наименование </t>
  </si>
  <si>
    <t>АО "ЭТК"</t>
  </si>
  <si>
    <t xml:space="preserve">3. Место нахождения </t>
  </si>
  <si>
    <t>644050, г. Омск, проспект Мира, 5-б</t>
  </si>
  <si>
    <t xml:space="preserve">4. Адрес юридического лица </t>
  </si>
  <si>
    <t>644099, г. Омск, ул. Чапаева, 71</t>
  </si>
  <si>
    <t xml:space="preserve">5. ИНН </t>
  </si>
  <si>
    <t xml:space="preserve">6. КПП </t>
  </si>
  <si>
    <t xml:space="preserve">7. Ф.И.О. руководителя </t>
  </si>
  <si>
    <t>Лунёв Аркадий Юрьевич</t>
  </si>
  <si>
    <t xml:space="preserve">8. Адрес электронной почты </t>
  </si>
  <si>
    <t>etk.info@mail.ru</t>
  </si>
  <si>
    <t xml:space="preserve">9. Контактный телефон </t>
  </si>
  <si>
    <t>8 (3812) 65-02-27</t>
  </si>
  <si>
    <t xml:space="preserve">10. Факс </t>
  </si>
  <si>
    <t>8 (3812) 65-34-36</t>
  </si>
  <si>
    <t>о присоединенных объемах максимальной мощности за 3 предыдущих года по каждому мероприятию</t>
  </si>
  <si>
    <t>Фактические расходы на строительство подстанций за 3 предыдущие года (тыс.руб)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</si>
  <si>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</si>
  <si>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</si>
  <si>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</si>
  <si>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2021 год</t>
  </si>
  <si>
    <t>Стоимость мероприятий, осуществляемых АО "Электротехнический комплекс" при технологическом присоединении, на 2021 год</t>
  </si>
  <si>
    <t>ТП-2232</t>
  </si>
  <si>
    <t>Данные за 2019 год</t>
  </si>
  <si>
    <t>АО "Омскэлектро" (договор № 32 от 14.12.2017)</t>
  </si>
  <si>
    <t>ИП Андреева Е.П. (договор № 37 от 08.04.2019)</t>
  </si>
  <si>
    <t>Евтушок М.И. (договор № 38 от 17.04.2019)</t>
  </si>
  <si>
    <t>ООО "Омская технологическая сервисная компания" (договор № 40 от 21.05.2019)</t>
  </si>
  <si>
    <t>ИП Конычев С.В. (договор № 41 от 29.07.2019)</t>
  </si>
  <si>
    <t>АО "Омскводоканал" (договор № 33/1423 от 03.07.2019)</t>
  </si>
  <si>
    <t>АО "Омскводоканал" (договор № 34/1498 от 27.08.2019)</t>
  </si>
  <si>
    <t>ул. Завертяева, 7/1</t>
  </si>
  <si>
    <t>2022 год</t>
  </si>
  <si>
    <t>Расчет расходов АО "ЭТК" по технологическому присоединению потребителей к электрическим сетям в 2021 году</t>
  </si>
  <si>
    <t>Фактические данные об осуществлении тех.присоединения к сетям АО "ЭТК" за 2013, 2014, 2015, 2016, 2017 гг.</t>
  </si>
  <si>
    <t>Кол-во точек присоединения и кат.надежности</t>
  </si>
  <si>
    <t>Стоимость ТП, утвержденная РЭК, руб, без НДС</t>
  </si>
  <si>
    <t>Дополнит. затраты на счет передачи ЭЭ</t>
  </si>
  <si>
    <t>КЛ (ст-ть, марка,сечение)</t>
  </si>
  <si>
    <t>КТП,ТП,РТП (тип тр-ров)</t>
  </si>
  <si>
    <t>за 2012 год</t>
  </si>
  <si>
    <t>ВОС</t>
  </si>
  <si>
    <t>по договору</t>
  </si>
  <si>
    <t>2 точки  / II кат.</t>
  </si>
  <si>
    <t>новое ТП</t>
  </si>
  <si>
    <t>осуществлено по индивид.проекту</t>
  </si>
  <si>
    <t>не требовалось</t>
  </si>
  <si>
    <t>899981руб. 2хАСБ (3х70) по 355м</t>
  </si>
  <si>
    <t>3126720,6 руб, БКТП с 2 ТМ-630кВА 6/0,4кВ</t>
  </si>
  <si>
    <t>за 2013 год</t>
  </si>
  <si>
    <t>ТГКом</t>
  </si>
  <si>
    <t>Кислородная</t>
  </si>
  <si>
    <t xml:space="preserve"> плата не утверждалась</t>
  </si>
  <si>
    <t>выполнено</t>
  </si>
  <si>
    <t>согласовано</t>
  </si>
  <si>
    <t>выполнено 6хВВГнгLS (3[185)-6кВ по 285м по эстакаде от Кисл до РП-7</t>
  </si>
  <si>
    <t>выполнено строительство РП-7 с 2хТМС-1600кВА 6/0,4кВ</t>
  </si>
  <si>
    <t>выполнены расчеты по договору</t>
  </si>
  <si>
    <t>за 2014 год</t>
  </si>
  <si>
    <t>ИСФ Строитель</t>
  </si>
  <si>
    <t>2 точки / 2 кат.</t>
  </si>
  <si>
    <t>осуществлено</t>
  </si>
  <si>
    <t>Мир Фасадов</t>
  </si>
  <si>
    <t>1 точка / 3 кат.</t>
  </si>
  <si>
    <t>Деревообработчик</t>
  </si>
  <si>
    <t>за 2015 год</t>
  </si>
  <si>
    <t>Э-13-2540</t>
  </si>
  <si>
    <t>Омскэлектро</t>
  </si>
  <si>
    <t>ТП-8869</t>
  </si>
  <si>
    <t>Э15-2111</t>
  </si>
  <si>
    <t>СТРОЙТРЕСТ 777</t>
  </si>
  <si>
    <t>1 точка / 3 кат</t>
  </si>
  <si>
    <t>приемка</t>
  </si>
  <si>
    <t>ФЛ Тренин А.В.</t>
  </si>
  <si>
    <t>КТП-36</t>
  </si>
  <si>
    <t>опосредованно,новое ТП</t>
  </si>
  <si>
    <t>Э15-2144</t>
  </si>
  <si>
    <t>ТП-5726</t>
  </si>
  <si>
    <t>за 2016 год</t>
  </si>
  <si>
    <t>РП-700</t>
  </si>
  <si>
    <t>Центрстрой</t>
  </si>
  <si>
    <t>ТП-2140</t>
  </si>
  <si>
    <t>Э-15-1725</t>
  </si>
  <si>
    <t>ОБВ-2</t>
  </si>
  <si>
    <t>увеличение   мощности</t>
  </si>
  <si>
    <t>Фомин Е.В.</t>
  </si>
  <si>
    <t>ТП-6603</t>
  </si>
  <si>
    <t>запитан от ОВК по 0,4</t>
  </si>
  <si>
    <t>Богданова Н.А.</t>
  </si>
  <si>
    <t>ГНС</t>
  </si>
  <si>
    <t>в работе</t>
  </si>
  <si>
    <t>за 2017 год</t>
  </si>
  <si>
    <t>Э15-1871</t>
  </si>
  <si>
    <t>РП-2 ВОС</t>
  </si>
  <si>
    <t>Э15-986</t>
  </si>
  <si>
    <t>Кислородная 809</t>
  </si>
  <si>
    <t>Кислородная 802А</t>
  </si>
  <si>
    <t>осуществлено, нет актов</t>
  </si>
  <si>
    <t>ФЛ Бабиков И.Ф.</t>
  </si>
  <si>
    <t>Кислородная в сторону Омсктехоптторг</t>
  </si>
  <si>
    <t>ФЛ Фомин Е.В.</t>
  </si>
  <si>
    <t>АО Газпромнефть</t>
  </si>
  <si>
    <t>ТП-2379</t>
  </si>
  <si>
    <t>Иртыш-1</t>
  </si>
  <si>
    <t>ТП-3327</t>
  </si>
  <si>
    <t>за 2018 год</t>
  </si>
  <si>
    <t>Э15-2525</t>
  </si>
  <si>
    <t>Кислородная 807Б</t>
  </si>
  <si>
    <t>Фомичев</t>
  </si>
  <si>
    <t>ФЛ Богданова Н.А.</t>
  </si>
  <si>
    <t>за 2019 год</t>
  </si>
  <si>
    <t>АО Омскэлектро</t>
  </si>
  <si>
    <t>3х630</t>
  </si>
  <si>
    <t>Падь</t>
  </si>
  <si>
    <t>Андреева</t>
  </si>
  <si>
    <t>ТП-4152</t>
  </si>
  <si>
    <t>новое ТП опосредованно</t>
  </si>
  <si>
    <t>Евтушок</t>
  </si>
  <si>
    <t>ОТСК</t>
  </si>
  <si>
    <t>Батут Конычев</t>
  </si>
  <si>
    <t>Стройинвест</t>
  </si>
  <si>
    <t>Кислородная 803А</t>
  </si>
  <si>
    <t>Кислородная нов.яч</t>
  </si>
  <si>
    <t>Газпром автоматизация</t>
  </si>
  <si>
    <t>РП-5 ВОС</t>
  </si>
  <si>
    <t>Планируемое тех.присоединение к электрическим сетям АО "ЭТК" на 2022 год</t>
  </si>
  <si>
    <t>С1 или С</t>
  </si>
  <si>
    <t>Методом расчета по максимальной мощности</t>
  </si>
  <si>
    <t>Монтаж ПУ</t>
  </si>
  <si>
    <t>Аква-Пластик</t>
  </si>
  <si>
    <t>Комсомольская , яч.2</t>
  </si>
  <si>
    <t>новое техприсоединение</t>
  </si>
  <si>
    <t>новая ячейка - 1000000</t>
  </si>
  <si>
    <t>Козловская Л.А. (ИП)</t>
  </si>
  <si>
    <t>РП-3 Кислородная</t>
  </si>
  <si>
    <t>* публикуется в соответствии с п 28-"е" Стандартов раскрытия информации субъектами оптового и розничных рынков электрической энергии, утвержденных постановлением Правительства РФ от 21.01.2004 № 24 по форме приложения № 5 к указанным Стандартам.</t>
  </si>
  <si>
    <t>ИНФОРМАЦИЯ*</t>
  </si>
  <si>
    <t>Данные на 15.10.2021</t>
  </si>
  <si>
    <t>* публикуется в соответствии с п 28-"д" Стандартов раскрытия информации субъектами оптового и розничных рынков электрической энергии, утвержденных постановлением Правительства РФ от 21.01.2004 № 24 по форме приложения № 4 к указанным Стандартам.</t>
  </si>
  <si>
    <t>ФАКТИЧЕСКИЕ СРЕДНИЕ ДАННЫЕ*</t>
  </si>
  <si>
    <t>* публикуется в соответствии с п 28-"в" Стандартов раскрытия информации субъектами оптового и розничных рынков электрической энергии, утвержденных постановлением Правительства РФ от 21.01.2004 № 24 по форме приложения № 2 к указанным Стандартам.</t>
  </si>
  <si>
    <t>Расчет необходимой валовой выручки АО "Электротехнический комплекс" на технологическое присоединение в 2022 году</t>
  </si>
  <si>
    <t>Ожидаемые данные за 2021 г.</t>
  </si>
  <si>
    <t>Расходы  по осуществлению технологического присоединения  на 2022 год</t>
  </si>
  <si>
    <t>Расчет среднего пробега автомобиля при оказании ОАО "Электротехнический комплекс" услуги по техприсоединению в 2022 году</t>
  </si>
  <si>
    <t>Расчет-обоснование расходов на бензин для автотранспорта АО "ЭТК" на 2022 год, включаемых в расходы по техприсоединению</t>
  </si>
  <si>
    <t xml:space="preserve">цена 2021 г. (в 2022 г. i=1,046), руб/л. </t>
  </si>
  <si>
    <t>Данные за 2020 год</t>
  </si>
  <si>
    <t>АО "Омскэлектро" (договор № 31 от 16.10.2017)</t>
  </si>
  <si>
    <t>ПАО "Ростелеком" (договор № 45 от 24.03.2020 г.)</t>
  </si>
  <si>
    <t>ИП Тузовская С.В. (договор № 44 от 23.06.2020 г.)</t>
  </si>
  <si>
    <t>пункта 16 Методических указаний, за 2022 год</t>
  </si>
  <si>
    <t>за 2022 год</t>
  </si>
  <si>
    <t>Расходы</t>
  </si>
  <si>
    <t>на строительство введенных в эксплуатацию объектов</t>
  </si>
  <si>
    <t>электросетевого хозяйства для целей технологического</t>
  </si>
  <si>
    <t>присоединения и для целей реализации иных мероприятий</t>
  </si>
  <si>
    <t>инвестиционной программы территориальной</t>
  </si>
  <si>
    <t>сетевой организации, а также на обеспечение средствами</t>
  </si>
  <si>
    <t>коммерческого учета электрической энергии (мощности)</t>
  </si>
  <si>
    <t>______________________________________________________</t>
  </si>
  <si>
    <t>(заполняется отдельно для территорий городских населенных пунктов и территорий, не относящихся к городским населенным пунктам)</t>
  </si>
  <si>
    <t>Объект электросетевого хозяйства/Средство коммерческого учета электрической энергии (мощности)</t>
  </si>
  <si>
    <t>Год ввода объекта</t>
  </si>
  <si>
    <t>Уровень напряжения, кВ</t>
  </si>
  <si>
    <t>Протяженность (для линий электропередачи), метров/Количество пунктов секционирования, штук/Количество точек учета, штук</t>
  </si>
  <si>
    <t>Максимальная мощность, кВт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</si>
  <si>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</si>
  <si>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Строительство воздушных линий</t>
  </si>
  <si>
    <t>-</t>
  </si>
  <si>
    <t>1.j</t>
  </si>
  <si>
    <t>Материал опоры (деревянные (j = 1), металлические (j = 2), железобетонные (j = 3))</t>
  </si>
  <si>
    <t>1.j.k</t>
  </si>
  <si>
    <t>Тип провода (изолированный провод (k = 1), неизолированный провод (k = 2))</t>
  </si>
  <si>
    <t>1.j.k.l</t>
  </si>
  <si>
    <t>Материал провода (медный (l = 1), стальной (l = 2), сталеалюминиевый (l = 3), алюминиевый (l = 4))</t>
  </si>
  <si>
    <t>1.j.k.l.m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</si>
  <si>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</t>
  </si>
  <si>
    <t>1.j.k.l.m.n</t>
  </si>
  <si>
    <t>Количество цепей (одноцепная (n = 1), двухцепная (n = 2)</t>
  </si>
  <si>
    <t>1.2.k.l.m.n.o</t>
  </si>
  <si>
    <t>на металлических опорах, за исключением многогранных (o = 1), на многогранных опорах (o = 2)</t>
  </si>
  <si>
    <t>...</t>
  </si>
  <si>
    <t>&lt;пообъектная расшифровка&gt;</t>
  </si>
  <si>
    <t>2.j</t>
  </si>
  <si>
    <t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6))</t>
  </si>
  <si>
    <t>2.j.k</t>
  </si>
  <si>
    <t>Одножильные (k = 1) и многожильные (k = 2)</t>
  </si>
  <si>
    <t>2.j.k.l</t>
  </si>
  <si>
    <t>Кабели с резиновой и пластмассовой изоляцией (l = 1), бумажной изоляцией (l = 2)</t>
  </si>
  <si>
    <t>2.j.k.l.m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</si>
  <si>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</t>
  </si>
  <si>
    <t>2.j.k.l.m.n</t>
  </si>
  <si>
    <t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</t>
  </si>
  <si>
    <t>3.j</t>
  </si>
  <si>
    <t>Реклоузеры (j = 1), 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КРУН) (j = 4), комплектные распределительные устройства наружной установки (КРН, КРУН) (j = 5), переключательные пункты (j = 6)</t>
  </si>
  <si>
    <t>3.j.k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</si>
  <si>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</si>
  <si>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3.4.k.l</t>
  </si>
  <si>
    <t>Количество ячеек в распределительном или переключательном пункте (до 5 ячеек включительно (l = 1), от 5 до 10 ячеек включительно (l = 2), от 10 до 15 ячеек включительно (l = 3), свыше 15 ячеек (l = 4)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</si>
  <si>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</si>
  <si>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4.j</t>
  </si>
  <si>
    <t>Трансформаторные подстанции (ТП), за исключением распределительных трансформаторных подстанций (РТП) 6/0,4 кВ (j = l), 10/0,4 кВ (j = 2), 20/0,4 кВ (j = 3), 6/10 (10/6) кВ (j = 4), 10/20 (20/10) кВ (j = 5), 6/20 (20/6) (j = 6)</t>
  </si>
  <si>
    <t>4.j.k</t>
  </si>
  <si>
    <t>Однотрансформаторные (k = 1), двухтрансформаторные и более (k = 2)</t>
  </si>
  <si>
    <t>4.j.k.l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</si>
  <si>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1000 кВА включительно (l = 5), от 1000 до 1250 кВА включительно (l = 6), от 1250 кВА до 1600 кВА включительно (l = 7), от 1600 до 2000 кВА включительно (l = 8), от 2000 до 2500 кВА включительно (l = 9), от 2500 до 3150 кВА включительно (l = 10), от 3150 до 4000 кВА включительно (l = 11), свыше 4000 кВА (l = 12)</t>
  </si>
  <si>
    <t>4.j.k.l.m</t>
  </si>
  <si>
    <t>Столбового/мачтового типа (m = 1), шкафного или киоскового типа (m = 2), блочного типа (m = 3)</t>
  </si>
  <si>
    <t>Строительство распределительных трансформаторных подстанций (РТП) с уровнем напряжения до 35 кВ</t>
  </si>
  <si>
    <t>5.j</t>
  </si>
  <si>
    <t>Распределительные трансформаторные подстанции (РТП)</t>
  </si>
  <si>
    <t>5.j.k</t>
  </si>
  <si>
    <t>5.j.k.1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</si>
  <si>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1000 кВА включительно (l = 5), от 1000 до 1250 кВА включительно (l = 6), от 1250 кВА до 1600 кВА включительно (l = 7), от 1600 до 2000 кВА включительно (l = 8), от 2000 до 2500 кВА включительно (l = 9), от 2500 до 3150 кВА включительно (l = 10), свыше 3150 кВА (l = 11)</t>
  </si>
  <si>
    <t>6.j</t>
  </si>
  <si>
    <t>ПС 35 кВ (j = 1), ПС 110 кВ и выше (j = 2)</t>
  </si>
  <si>
    <t>6.j.k</t>
  </si>
  <si>
    <t>Трансформаторная мощность до 6,3 МВА включительно (k = 1), от 6,3 до 10 МВА включительно (k = 2), от 10 до 16 МВА включительно (k = 3), от 16 до 25 МВА включительно (k = 4), от 25 до 32 МВА включительно (k = 5), от 32 до 40 МВА включительно (k = 6), от 40 до 63 МВА включительно (k = 7), от 63 до 80 МВА включительно (k = 8), от 80 до 100 МВА включительно (k = 9), свыше 100 МВА (k = 10)</t>
  </si>
  <si>
    <t>7.</t>
  </si>
  <si>
    <t>Обеспечение средствами коммерческого учета электрической энергии (мощности)</t>
  </si>
  <si>
    <t>7. j</t>
  </si>
  <si>
    <t>однофазный (j = 1),</t>
  </si>
  <si>
    <t>трехфазный (j = 2)</t>
  </si>
  <si>
    <t>7.j.k</t>
  </si>
  <si>
    <t>прямого включения (k = 1),</t>
  </si>
  <si>
    <t>полукосвенного включения (k = 2),</t>
  </si>
  <si>
    <t>косвенного включения (k = 3)</t>
  </si>
  <si>
    <t xml:space="preserve">* По форме Приложения 1 к Методическим указаниям по определению размера платы за технологическое присоединение к электрическим сетям, утвержденным приказом ФАС России от 29.08.2017 № 1135/17, в соответствии с п 28-"а" Стандартов раскрытия информации субъектами оптового и розничных рынков электрической энергии, утвержденных постановлением Правительства РФ от 21.01.2004 № 24.
</t>
  </si>
  <si>
    <t>Примечание: Строительство "последней мили" и установка коммерческих ПУ не осуществлялись.</t>
  </si>
  <si>
    <t>Информация о решении органа исполнительной власти субъекта Российской Федерации в области государственного регулирования тарифов об установлении единых для всех территориальных сетевых организаций на территории субъекта Российской Федерации стандартизированных тарифных ставок, определяющих величину платы за технологическое присоединение к электрическим сетям территориальных сетевых организаций публикуется в соответствии с п 28-"б" Стандартов раскрытия информации субъектами оптового и розничных рынков электрической энергии, утвержденных постановлением Правительства РФ от 21.01.2004 № 24.</t>
  </si>
  <si>
    <t>РЕГИОНАЛЬНАЯ ЭНЕРГЕТИЧЕСКАЯ КОМИССИЯ ОМСКОЙ ОБЛАСТИ</t>
  </si>
  <si>
    <t>ПРИКАЗ</t>
  </si>
  <si>
    <t>от 24 декабря 2020 г. N 567/91</t>
  </si>
  <si>
    <t>ОБ УСТАНОВЛЕНИИ ПЛАТЫ ЗА ТЕХНОЛОГИЧЕСКОЕ ПРИСОЕДИНЕНИЕ</t>
  </si>
  <si>
    <t>К ТЕРРИТОРИАЛЬНЫМ РАСПРЕДЕЛИТЕЛЬНЫМ ЭЛЕКТРИЧЕСКИМ СЕТЯМ</t>
  </si>
  <si>
    <t>НА ТЕРРИТОРИИ ОМСКОЙ ОБЛАСТИ НА 2021 ГОД</t>
  </si>
  <si>
    <t>СТАНДАРТИЗИРОВАННЫЕ ТАРИФНЫЕ СТАВКИ</t>
  </si>
  <si>
    <t>для расчета платы за технологическое присоединение к территориальным распределительным сетям на уровне напряжения ниже 35 кВ и присоединяемой мощностью менее 8900 кВт</t>
  </si>
  <si>
    <t xml:space="preserve">на </t>
  </si>
  <si>
    <t>Наименование стандартизированных  тарифных ставок</t>
  </si>
  <si>
    <t>Единица измерения**</t>
  </si>
  <si>
    <t>Стандартизированные тарифные ставки</t>
  </si>
  <si>
    <t>по постоянной схеме</t>
  </si>
  <si>
    <t>по временной схеме</t>
  </si>
  <si>
    <r>
      <t>С</t>
    </r>
    <r>
      <rPr>
        <vertAlign val="subscript"/>
        <sz val="12"/>
        <rFont val="Times New Roman"/>
        <family val="1"/>
      </rPr>
      <t>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</si>
  <si>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</si>
  <si>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</si>
  <si>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r>
      <t>С</t>
    </r>
    <r>
      <rPr>
        <vertAlign val="subscript"/>
        <sz val="12"/>
        <rFont val="Times New Roman"/>
        <family val="1"/>
      </rPr>
      <t>1.1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</si>
  <si>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</si>
  <si>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rFont val="Times New Roman"/>
        <family val="1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</si>
  <si>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</si>
  <si>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r>
      <t>рублей/</t>
    </r>
    <r>
      <rPr>
        <sz val="12"/>
        <color indexed="10"/>
        <rFont val="Times New Roman"/>
        <family val="1"/>
      </rPr>
      <t>км**</t>
    </r>
  </si>
  <si>
    <r>
      <t>С</t>
    </r>
    <r>
      <rPr>
        <vertAlign val="subscript"/>
        <sz val="12"/>
        <rFont val="Times New Roman"/>
        <family val="1"/>
      </rPr>
      <t>1.3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</si>
  <si>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</si>
  <si>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 xml:space="preserve"> ---</t>
  </si>
  <si>
    <r>
      <t>С</t>
    </r>
    <r>
      <rPr>
        <vertAlign val="subscript"/>
        <sz val="12"/>
        <rFont val="Times New Roman"/>
        <family val="1"/>
      </rPr>
      <t>1.4</t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</si>
  <si>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</si>
  <si>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vertAlign val="subscript"/>
        <sz val="12"/>
        <rFont val="Times New Roman"/>
        <family val="1"/>
      </rPr>
      <t>2.i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</si>
  <si>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</si>
  <si>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рублей/км</t>
  </si>
  <si>
    <t>мероприятия отсутствовали</t>
  </si>
  <si>
    <r>
      <t>С</t>
    </r>
    <r>
      <rPr>
        <vertAlign val="subscript"/>
        <sz val="12"/>
        <rFont val="Times New Roman"/>
        <family val="1"/>
      </rPr>
      <t>3.i</t>
    </r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</si>
  <si>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</si>
  <si>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>4.i</t>
    </r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</si>
  <si>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</si>
  <si>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r>
      <t xml:space="preserve"> </t>
    </r>
    <r>
      <rPr>
        <sz val="10"/>
        <rFont val="Times New Roman"/>
        <family val="1"/>
      </rPr>
      <t>* 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</si>
  <si>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 xml:space="preserve">  ** Единицы измерения приведены согласно приложению № 3 к стандартам раскрытия информации субъектами оптового и розничных рынков электрической энергии. (без учета НДС)</t>
  </si>
  <si>
    <t>Данные на 20.10.2021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</si>
</sst>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_-* #,##0.00_р_._-;\-* #,##0.00_р_._-;_-* &quot;-&quot;??_р_._-;_-@_-"/>
    <numFmt numFmtId="167" formatCode="#,##0.000"/>
    <numFmt numFmtId="168" formatCode="0.0;[Red]0.0"/>
    <numFmt numFmtId="169" formatCode="#,##0.0"/>
    <numFmt numFmtId="170" formatCode="_-* #,##0_р_._-;\-* #,##0_р_._-;_-* &quot;-&quot;??_р_._-;_-@_-"/>
    <numFmt numFmtId="171" formatCode="[$-FC19]d\ mmmm\ yyyy\ &quot;г.&quot;"/>
    <numFmt numFmtId="172" formatCode="[$-419]mmmm\ yyyy;@"/>
    <numFmt numFmtId="173" formatCode="0.0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sz val="10"/>
      <name val="Arial Cyr"/>
      <family val="0"/>
    </font>
    <font>
      <b/>
      <i/>
      <sz val="14"/>
      <name val="Times New Roman"/>
      <family val="1"/>
    </font>
    <font>
      <b/>
      <sz val="14"/>
      <color indexed="36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0"/>
      <name val="Times New Roman Cyr"/>
      <family val="1"/>
    </font>
    <font>
      <b/>
      <i/>
      <sz val="9"/>
      <name val="Times New Roman Cyr"/>
      <family val="0"/>
    </font>
    <font>
      <i/>
      <sz val="9"/>
      <name val="Times New Roman"/>
      <family val="1"/>
    </font>
    <font>
      <b/>
      <sz val="10"/>
      <name val="Times New Roman Cyr"/>
      <family val="1"/>
    </font>
    <font>
      <i/>
      <sz val="9"/>
      <name val="Times New Roman Cyr"/>
      <family val="1"/>
    </font>
    <font>
      <sz val="8"/>
      <name val="Times New Roman Cyr"/>
      <family val="1"/>
    </font>
    <font>
      <b/>
      <sz val="10"/>
      <color indexed="57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16"/>
      <name val="Arial Cyr"/>
      <family val="0"/>
    </font>
    <font>
      <b/>
      <sz val="14"/>
      <color indexed="60"/>
      <name val="Times New Roman"/>
      <family val="1"/>
    </font>
    <font>
      <b/>
      <u val="single"/>
      <sz val="10"/>
      <name val="Arial Cyr"/>
      <family val="0"/>
    </font>
    <font>
      <b/>
      <sz val="11"/>
      <name val="Calibri"/>
      <family val="2"/>
    </font>
    <font>
      <b/>
      <i/>
      <sz val="12"/>
      <name val="Times New Roman"/>
      <family val="1"/>
    </font>
    <font>
      <vertAlign val="subscript"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9"/>
      <name val="Times New Roman"/>
      <family val="1"/>
    </font>
    <font>
      <vertAlign val="sub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7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 indent="1"/>
    </xf>
    <xf numFmtId="0" fontId="0" fillId="0" borderId="10" xfId="0" applyBorder="1" applyAlignment="1">
      <alignment horizontal="left" wrapText="1" indent="2"/>
    </xf>
    <xf numFmtId="0" fontId="69" fillId="0" borderId="0" xfId="0" applyFont="1" applyAlignment="1">
      <alignment horizontal="center" vertical="center" wrapText="1"/>
    </xf>
    <xf numFmtId="0" fontId="69" fillId="0" borderId="10" xfId="0" applyFont="1" applyBorder="1" applyAlignment="1">
      <alignment horizontal="center" wrapText="1"/>
    </xf>
    <xf numFmtId="0" fontId="69" fillId="0" borderId="0" xfId="0" applyFont="1" applyAlignment="1">
      <alignment horizontal="center"/>
    </xf>
    <xf numFmtId="0" fontId="69" fillId="0" borderId="10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0" fontId="0" fillId="0" borderId="11" xfId="0" applyBorder="1" applyAlignment="1">
      <alignment horizontal="center"/>
    </xf>
    <xf numFmtId="0" fontId="69" fillId="0" borderId="0" xfId="0" applyFont="1" applyAlignment="1">
      <alignment horizontal="center"/>
    </xf>
    <xf numFmtId="4" fontId="0" fillId="0" borderId="10" xfId="0" applyNumberFormat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4" fontId="0" fillId="0" borderId="10" xfId="0" applyNumberForma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69" fillId="0" borderId="0" xfId="0" applyFont="1" applyAlignment="1">
      <alignment wrapText="1"/>
    </xf>
    <xf numFmtId="0" fontId="69" fillId="0" borderId="0" xfId="0" applyFont="1" applyAlignment="1">
      <alignment horizontal="right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left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top" wrapText="1"/>
    </xf>
    <xf numFmtId="2" fontId="3" fillId="0" borderId="0" xfId="0" applyNumberFormat="1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2" fontId="4" fillId="0" borderId="10" xfId="5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Alignment="1">
      <alignment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2" fontId="5" fillId="0" borderId="14" xfId="0" applyNumberFormat="1" applyFont="1" applyFill="1" applyBorder="1" applyAlignment="1">
      <alignment horizontal="left" vertical="center" wrapText="1"/>
    </xf>
    <xf numFmtId="1" fontId="2" fillId="0" borderId="14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right" vertical="center"/>
    </xf>
    <xf numFmtId="2" fontId="10" fillId="0" borderId="10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/>
    </xf>
    <xf numFmtId="0" fontId="12" fillId="0" borderId="0" xfId="54" applyFont="1" applyAlignment="1">
      <alignment horizontal="center" vertical="center" wrapText="1"/>
      <protection/>
    </xf>
    <xf numFmtId="4" fontId="12" fillId="0" borderId="0" xfId="54" applyNumberFormat="1" applyFont="1" applyAlignment="1">
      <alignment horizontal="center" vertical="center" wrapText="1"/>
      <protection/>
    </xf>
    <xf numFmtId="4" fontId="14" fillId="0" borderId="0" xfId="54" applyNumberFormat="1" applyFont="1" applyAlignment="1">
      <alignment vertical="center" wrapText="1"/>
      <protection/>
    </xf>
    <xf numFmtId="4" fontId="13" fillId="0" borderId="0" xfId="54" applyNumberFormat="1" applyFont="1" applyAlignment="1">
      <alignment horizontal="right" vertical="center" wrapText="1"/>
      <protection/>
    </xf>
    <xf numFmtId="0" fontId="15" fillId="0" borderId="0" xfId="54" applyFont="1" applyAlignment="1">
      <alignment vertical="center" wrapText="1"/>
      <protection/>
    </xf>
    <xf numFmtId="0" fontId="17" fillId="0" borderId="0" xfId="54" applyFont="1" applyAlignment="1">
      <alignment horizontal="center" vertical="center" wrapText="1"/>
      <protection/>
    </xf>
    <xf numFmtId="0" fontId="17" fillId="0" borderId="0" xfId="54" applyFont="1" applyAlignment="1">
      <alignment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4" fontId="16" fillId="0" borderId="0" xfId="54" applyNumberFormat="1" applyFont="1" applyAlignment="1">
      <alignment horizontal="right" vertical="center" wrapText="1"/>
      <protection/>
    </xf>
    <xf numFmtId="0" fontId="15" fillId="0" borderId="10" xfId="54" applyFont="1" applyBorder="1" applyAlignment="1">
      <alignment horizontal="center" vertical="center" wrapText="1"/>
      <protection/>
    </xf>
    <xf numFmtId="4" fontId="15" fillId="0" borderId="0" xfId="54" applyNumberFormat="1" applyFont="1" applyBorder="1" applyAlignment="1">
      <alignment vertical="center" wrapText="1"/>
      <protection/>
    </xf>
    <xf numFmtId="4" fontId="15" fillId="0" borderId="0" xfId="54" applyNumberFormat="1" applyFont="1" applyBorder="1" applyAlignment="1">
      <alignment horizontal="center" vertical="center" wrapText="1"/>
      <protection/>
    </xf>
    <xf numFmtId="0" fontId="17" fillId="0" borderId="10" xfId="54" applyFont="1" applyFill="1" applyBorder="1" applyAlignment="1">
      <alignment horizontal="center" vertical="center" wrapText="1"/>
      <protection/>
    </xf>
    <xf numFmtId="2" fontId="17" fillId="0" borderId="10" xfId="54" applyNumberFormat="1" applyFont="1" applyFill="1" applyBorder="1" applyAlignment="1">
      <alignment horizontal="center" vertical="center" wrapText="1"/>
      <protection/>
    </xf>
    <xf numFmtId="4" fontId="17" fillId="0" borderId="10" xfId="54" applyNumberFormat="1" applyFont="1" applyBorder="1" applyAlignment="1">
      <alignment horizontal="center" vertical="center" wrapText="1"/>
      <protection/>
    </xf>
    <xf numFmtId="4" fontId="17" fillId="0" borderId="10" xfId="54" applyNumberFormat="1" applyFont="1" applyFill="1" applyBorder="1" applyAlignment="1">
      <alignment horizontal="center" vertical="center" wrapText="1"/>
      <protection/>
    </xf>
    <xf numFmtId="4" fontId="17" fillId="0" borderId="0" xfId="54" applyNumberFormat="1" applyFont="1" applyBorder="1" applyAlignment="1">
      <alignment horizontal="center" vertical="center" wrapText="1"/>
      <protection/>
    </xf>
    <xf numFmtId="4" fontId="12" fillId="0" borderId="0" xfId="54" applyNumberFormat="1" applyFont="1" applyBorder="1" applyAlignment="1">
      <alignment horizontal="center" vertical="center" wrapText="1"/>
      <protection/>
    </xf>
    <xf numFmtId="4" fontId="17" fillId="0" borderId="0" xfId="54" applyNumberFormat="1" applyFont="1" applyAlignment="1">
      <alignment horizontal="center" vertical="center" wrapText="1"/>
      <protection/>
    </xf>
    <xf numFmtId="4" fontId="15" fillId="0" borderId="10" xfId="54" applyNumberFormat="1" applyFont="1" applyBorder="1" applyAlignment="1">
      <alignment horizontal="center" vertical="center" wrapText="1"/>
      <protection/>
    </xf>
    <xf numFmtId="4" fontId="15" fillId="0" borderId="0" xfId="54" applyNumberFormat="1" applyFont="1" applyBorder="1" applyAlignment="1">
      <alignment horizontal="center" vertical="center" wrapText="1"/>
      <protection/>
    </xf>
    <xf numFmtId="4" fontId="18" fillId="0" borderId="0" xfId="62" applyNumberFormat="1" applyFont="1" applyBorder="1" applyAlignment="1">
      <alignment horizontal="center" vertical="center" wrapText="1"/>
    </xf>
    <xf numFmtId="4" fontId="15" fillId="0" borderId="0" xfId="54" applyNumberFormat="1" applyFont="1" applyAlignment="1">
      <alignment horizontal="center" vertical="center" wrapText="1"/>
      <protection/>
    </xf>
    <xf numFmtId="166" fontId="15" fillId="0" borderId="0" xfId="54" applyNumberFormat="1" applyFont="1" applyAlignment="1">
      <alignment horizontal="center" vertical="center" wrapText="1"/>
      <protection/>
    </xf>
    <xf numFmtId="4" fontId="15" fillId="0" borderId="0" xfId="54" applyNumberFormat="1" applyFont="1" applyAlignment="1">
      <alignment horizontal="left" vertical="center" wrapText="1"/>
      <protection/>
    </xf>
    <xf numFmtId="4" fontId="15" fillId="0" borderId="0" xfId="54" applyNumberFormat="1" applyFont="1" applyAlignment="1">
      <alignment horizontal="center" vertical="center" wrapText="1"/>
      <protection/>
    </xf>
    <xf numFmtId="0" fontId="15" fillId="0" borderId="0" xfId="54" applyFont="1" applyAlignment="1">
      <alignment horizontal="center" vertical="center" wrapText="1"/>
      <protection/>
    </xf>
    <xf numFmtId="4" fontId="19" fillId="0" borderId="0" xfId="54" applyNumberFormat="1" applyFont="1" applyBorder="1" applyAlignment="1">
      <alignment horizontal="center" vertical="center" wrapText="1"/>
      <protection/>
    </xf>
    <xf numFmtId="4" fontId="19" fillId="0" borderId="0" xfId="54" applyNumberFormat="1" applyFont="1" applyAlignment="1">
      <alignment horizontal="center" vertical="center" wrapText="1"/>
      <protection/>
    </xf>
    <xf numFmtId="0" fontId="19" fillId="0" borderId="0" xfId="54" applyFont="1" applyAlignment="1">
      <alignment horizontal="center" vertical="center" wrapText="1"/>
      <protection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0" fillId="0" borderId="0" xfId="0" applyAlignment="1">
      <alignment horizont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0" fillId="0" borderId="10" xfId="0" applyFill="1" applyBorder="1" applyAlignment="1">
      <alignment vertic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5" fillId="0" borderId="10" xfId="0" applyFont="1" applyFill="1" applyBorder="1" applyAlignment="1">
      <alignment vertical="center"/>
    </xf>
    <xf numFmtId="4" fontId="15" fillId="0" borderId="10" xfId="0" applyNumberFormat="1" applyFont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 vertical="center" wrapText="1"/>
    </xf>
    <xf numFmtId="49" fontId="21" fillId="0" borderId="0" xfId="53" applyNumberFormat="1" applyFont="1" applyFill="1" applyAlignment="1">
      <alignment horizontal="center" vertical="center" wrapText="1"/>
      <protection/>
    </xf>
    <xf numFmtId="49" fontId="21" fillId="0" borderId="0" xfId="53" applyNumberFormat="1" applyFont="1" applyFill="1" applyAlignment="1">
      <alignment horizontal="right" vertical="center" wrapText="1"/>
      <protection/>
    </xf>
    <xf numFmtId="0" fontId="19" fillId="0" borderId="0" xfId="53" applyFont="1" applyFill="1">
      <alignment/>
      <protection/>
    </xf>
    <xf numFmtId="1" fontId="19" fillId="0" borderId="0" xfId="53" applyNumberFormat="1" applyFont="1" applyFill="1">
      <alignment/>
      <protection/>
    </xf>
    <xf numFmtId="0" fontId="22" fillId="0" borderId="0" xfId="53" applyFont="1" applyFill="1" applyBorder="1" applyAlignment="1">
      <alignment horizontal="center" vertical="center" wrapText="1"/>
      <protection/>
    </xf>
    <xf numFmtId="49" fontId="21" fillId="0" borderId="10" xfId="53" applyNumberFormat="1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165" fontId="21" fillId="0" borderId="10" xfId="53" applyNumberFormat="1" applyFont="1" applyFill="1" applyBorder="1" applyAlignment="1">
      <alignment horizontal="center" vertical="center" wrapText="1"/>
      <protection/>
    </xf>
    <xf numFmtId="1" fontId="21" fillId="0" borderId="10" xfId="53" applyNumberFormat="1" applyFont="1" applyFill="1" applyBorder="1" applyAlignment="1">
      <alignment horizontal="center" vertical="center" wrapText="1"/>
      <protection/>
    </xf>
    <xf numFmtId="168" fontId="21" fillId="0" borderId="10" xfId="53" applyNumberFormat="1" applyFont="1" applyFill="1" applyBorder="1" applyAlignment="1">
      <alignment horizontal="center" vertical="center" wrapText="1"/>
      <protection/>
    </xf>
    <xf numFmtId="0" fontId="19" fillId="0" borderId="10" xfId="53" applyFont="1" applyFill="1" applyBorder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left" vertical="center" wrapText="1"/>
      <protection/>
    </xf>
    <xf numFmtId="4" fontId="22" fillId="0" borderId="10" xfId="53" applyNumberFormat="1" applyFont="1" applyFill="1" applyBorder="1" applyAlignment="1">
      <alignment horizontal="center" vertical="center" wrapText="1"/>
      <protection/>
    </xf>
    <xf numFmtId="1" fontId="23" fillId="0" borderId="10" xfId="53" applyNumberFormat="1" applyFont="1" applyFill="1" applyBorder="1" applyAlignment="1">
      <alignment horizontal="center" vertical="center" wrapText="1"/>
      <protection/>
    </xf>
    <xf numFmtId="4" fontId="23" fillId="0" borderId="10" xfId="53" applyNumberFormat="1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center"/>
      <protection/>
    </xf>
    <xf numFmtId="0" fontId="21" fillId="0" borderId="10" xfId="53" applyFont="1" applyFill="1" applyBorder="1" applyAlignment="1">
      <alignment horizontal="left" vertical="center" wrapText="1"/>
      <protection/>
    </xf>
    <xf numFmtId="4" fontId="21" fillId="0" borderId="10" xfId="53" applyNumberFormat="1" applyFont="1" applyFill="1" applyBorder="1" applyAlignment="1">
      <alignment horizontal="center" vertical="center" wrapText="1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21" fillId="0" borderId="0" xfId="53" applyFont="1" applyFill="1" applyBorder="1" applyAlignment="1">
      <alignment horizontal="center" vertical="center" wrapText="1"/>
      <protection/>
    </xf>
    <xf numFmtId="165" fontId="21" fillId="0" borderId="0" xfId="53" applyNumberFormat="1" applyFont="1" applyFill="1" applyBorder="1" applyAlignment="1">
      <alignment horizontal="center" vertical="center" wrapText="1"/>
      <protection/>
    </xf>
    <xf numFmtId="168" fontId="21" fillId="0" borderId="0" xfId="53" applyNumberFormat="1" applyFont="1" applyFill="1" applyBorder="1" applyAlignment="1">
      <alignment horizontal="center" vertical="center" wrapText="1"/>
      <protection/>
    </xf>
    <xf numFmtId="0" fontId="21" fillId="0" borderId="0" xfId="53" applyFont="1" applyFill="1" applyBorder="1" applyAlignment="1">
      <alignment horizontal="left" vertical="center" wrapText="1"/>
      <protection/>
    </xf>
    <xf numFmtId="167" fontId="21" fillId="0" borderId="0" xfId="53" applyNumberFormat="1" applyFont="1" applyFill="1" applyBorder="1" applyAlignment="1">
      <alignment horizontal="center" vertical="center" wrapText="1"/>
      <protection/>
    </xf>
    <xf numFmtId="169" fontId="21" fillId="0" borderId="0" xfId="53" applyNumberFormat="1" applyFont="1" applyFill="1" applyBorder="1" applyAlignment="1">
      <alignment horizontal="center" vertical="center" wrapText="1"/>
      <protection/>
    </xf>
    <xf numFmtId="0" fontId="21" fillId="0" borderId="0" xfId="53" applyFont="1" applyFill="1" applyAlignment="1">
      <alignment horizontal="left" vertical="center" wrapText="1"/>
      <protection/>
    </xf>
    <xf numFmtId="4" fontId="19" fillId="0" borderId="0" xfId="53" applyNumberFormat="1" applyFont="1" applyFill="1">
      <alignment/>
      <protection/>
    </xf>
    <xf numFmtId="0" fontId="19" fillId="0" borderId="0" xfId="53" applyFont="1" applyFill="1" applyBorder="1">
      <alignment/>
      <protection/>
    </xf>
    <xf numFmtId="4" fontId="24" fillId="0" borderId="0" xfId="53" applyNumberFormat="1" applyFont="1" applyFill="1">
      <alignment/>
      <protection/>
    </xf>
    <xf numFmtId="1" fontId="24" fillId="0" borderId="0" xfId="53" applyNumberFormat="1" applyFont="1" applyFill="1">
      <alignment/>
      <protection/>
    </xf>
    <xf numFmtId="0" fontId="24" fillId="0" borderId="0" xfId="53" applyFont="1" applyFill="1" applyAlignment="1">
      <alignment horizontal="right"/>
      <protection/>
    </xf>
    <xf numFmtId="0" fontId="24" fillId="0" borderId="0" xfId="53" applyFont="1" applyFill="1">
      <alignment/>
      <protection/>
    </xf>
    <xf numFmtId="0" fontId="24" fillId="0" borderId="0" xfId="53" applyFont="1" applyFill="1" applyBorder="1">
      <alignment/>
      <protection/>
    </xf>
    <xf numFmtId="0" fontId="19" fillId="0" borderId="0" xfId="53" applyFont="1" applyFill="1" applyAlignment="1">
      <alignment horizontal="center" vertical="center"/>
      <protection/>
    </xf>
    <xf numFmtId="0" fontId="12" fillId="0" borderId="0" xfId="53" applyFont="1" applyFill="1" applyAlignment="1">
      <alignment horizontal="center" vertical="center"/>
      <protection/>
    </xf>
    <xf numFmtId="0" fontId="12" fillId="0" borderId="0" xfId="53" applyFont="1" applyFill="1">
      <alignment/>
      <protection/>
    </xf>
    <xf numFmtId="2" fontId="22" fillId="0" borderId="0" xfId="53" applyNumberFormat="1" applyFont="1" applyFill="1" applyBorder="1" applyAlignment="1">
      <alignment horizontal="center" vertical="center" wrapText="1"/>
      <protection/>
    </xf>
    <xf numFmtId="1" fontId="12" fillId="0" borderId="0" xfId="53" applyNumberFormat="1" applyFont="1" applyFill="1">
      <alignment/>
      <protection/>
    </xf>
    <xf numFmtId="0" fontId="19" fillId="0" borderId="0" xfId="53" applyFont="1" applyFill="1" applyAlignment="1">
      <alignment horizontal="right" vertical="center"/>
      <protection/>
    </xf>
    <xf numFmtId="2" fontId="21" fillId="0" borderId="10" xfId="53" applyNumberFormat="1" applyFont="1" applyFill="1" applyBorder="1" applyAlignment="1">
      <alignment horizontal="center" vertical="center" wrapText="1"/>
      <protection/>
    </xf>
    <xf numFmtId="0" fontId="17" fillId="0" borderId="0" xfId="53" applyFont="1" applyFill="1" applyAlignment="1">
      <alignment horizontal="center" vertical="center"/>
      <protection/>
    </xf>
    <xf numFmtId="0" fontId="17" fillId="0" borderId="0" xfId="53" applyFont="1" applyFill="1">
      <alignment/>
      <protection/>
    </xf>
    <xf numFmtId="3" fontId="21" fillId="0" borderId="10" xfId="53" applyNumberFormat="1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/>
      <protection/>
    </xf>
    <xf numFmtId="2" fontId="22" fillId="0" borderId="10" xfId="53" applyNumberFormat="1" applyFont="1" applyFill="1" applyBorder="1" applyAlignment="1">
      <alignment horizontal="center" vertical="center" wrapText="1"/>
      <protection/>
    </xf>
    <xf numFmtId="167" fontId="22" fillId="0" borderId="1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Alignment="1">
      <alignment horizontal="center" vertical="center"/>
      <protection/>
    </xf>
    <xf numFmtId="0" fontId="15" fillId="0" borderId="0" xfId="53" applyFont="1" applyFill="1" applyAlignment="1">
      <alignment horizontal="center" vertical="center"/>
      <protection/>
    </xf>
    <xf numFmtId="4" fontId="19" fillId="0" borderId="10" xfId="53" applyNumberFormat="1" applyFont="1" applyFill="1" applyBorder="1" applyAlignment="1">
      <alignment horizontal="center" vertical="center"/>
      <protection/>
    </xf>
    <xf numFmtId="2" fontId="25" fillId="0" borderId="10" xfId="53" applyNumberFormat="1" applyFont="1" applyFill="1" applyBorder="1" applyAlignment="1">
      <alignment horizontal="center" vertical="center" wrapText="1"/>
      <protection/>
    </xf>
    <xf numFmtId="4" fontId="25" fillId="0" borderId="10" xfId="53" applyNumberFormat="1" applyFont="1" applyFill="1" applyBorder="1" applyAlignment="1">
      <alignment horizontal="center" vertical="center" wrapText="1"/>
      <protection/>
    </xf>
    <xf numFmtId="49" fontId="21" fillId="0" borderId="10" xfId="53" applyNumberFormat="1" applyFont="1" applyFill="1" applyBorder="1" applyAlignment="1">
      <alignment horizontal="center" vertical="center" textRotation="90" wrapText="1"/>
      <protection/>
    </xf>
    <xf numFmtId="0" fontId="21" fillId="0" borderId="10" xfId="53" applyFont="1" applyFill="1" applyBorder="1" applyAlignment="1">
      <alignment horizontal="right" vertical="center" wrapText="1"/>
      <protection/>
    </xf>
    <xf numFmtId="167" fontId="21" fillId="0" borderId="10" xfId="53" applyNumberFormat="1" applyFont="1" applyFill="1" applyBorder="1" applyAlignment="1">
      <alignment horizontal="center" vertical="center" wrapText="1"/>
      <protection/>
    </xf>
    <xf numFmtId="0" fontId="12" fillId="0" borderId="0" xfId="53" applyFont="1" applyFill="1" applyAlignment="1">
      <alignment horizontal="right"/>
      <protection/>
    </xf>
    <xf numFmtId="49" fontId="21" fillId="0" borderId="15" xfId="53" applyNumberFormat="1" applyFont="1" applyFill="1" applyBorder="1" applyAlignment="1">
      <alignment horizontal="center" vertical="center" textRotation="90" wrapText="1"/>
      <protection/>
    </xf>
    <xf numFmtId="0" fontId="21" fillId="0" borderId="14" xfId="53" applyFont="1" applyFill="1" applyBorder="1" applyAlignment="1">
      <alignment horizontal="right" vertical="center" wrapText="1"/>
      <protection/>
    </xf>
    <xf numFmtId="2" fontId="21" fillId="0" borderId="14" xfId="53" applyNumberFormat="1" applyFont="1" applyFill="1" applyBorder="1" applyAlignment="1">
      <alignment horizontal="center" vertical="center" wrapText="1"/>
      <protection/>
    </xf>
    <xf numFmtId="169" fontId="21" fillId="0" borderId="14" xfId="53" applyNumberFormat="1" applyFont="1" applyFill="1" applyBorder="1" applyAlignment="1">
      <alignment horizontal="center" vertical="center" wrapText="1"/>
      <protection/>
    </xf>
    <xf numFmtId="1" fontId="21" fillId="0" borderId="14" xfId="53" applyNumberFormat="1" applyFont="1" applyFill="1" applyBorder="1" applyAlignment="1">
      <alignment horizontal="center" vertical="center" wrapText="1"/>
      <protection/>
    </xf>
    <xf numFmtId="49" fontId="21" fillId="0" borderId="16" xfId="53" applyNumberFormat="1" applyFont="1" applyFill="1" applyBorder="1" applyAlignment="1">
      <alignment horizontal="center" vertical="center" textRotation="90" wrapText="1"/>
      <protection/>
    </xf>
    <xf numFmtId="169" fontId="21" fillId="0" borderId="10" xfId="53" applyNumberFormat="1" applyFont="1" applyFill="1" applyBorder="1" applyAlignment="1">
      <alignment horizontal="center" vertical="center" wrapText="1"/>
      <protection/>
    </xf>
    <xf numFmtId="49" fontId="21" fillId="0" borderId="14" xfId="53" applyNumberFormat="1" applyFont="1" applyFill="1" applyBorder="1" applyAlignment="1">
      <alignment horizontal="center" vertical="center" textRotation="90" wrapText="1"/>
      <protection/>
    </xf>
    <xf numFmtId="1" fontId="22" fillId="0" borderId="10" xfId="53" applyNumberFormat="1" applyFont="1" applyFill="1" applyBorder="1" applyAlignment="1">
      <alignment horizontal="center" vertical="center" wrapText="1"/>
      <protection/>
    </xf>
    <xf numFmtId="0" fontId="17" fillId="0" borderId="0" xfId="53" applyFont="1" applyFill="1" applyAlignment="1">
      <alignment horizontal="center"/>
      <protection/>
    </xf>
    <xf numFmtId="49" fontId="26" fillId="0" borderId="0" xfId="53" applyNumberFormat="1" applyFont="1" applyFill="1" applyAlignment="1">
      <alignment horizontal="center" vertical="center" wrapText="1"/>
      <protection/>
    </xf>
    <xf numFmtId="0" fontId="26" fillId="0" borderId="0" xfId="53" applyFont="1" applyFill="1" applyAlignment="1">
      <alignment horizontal="left" vertical="center" wrapText="1"/>
      <protection/>
    </xf>
    <xf numFmtId="2" fontId="26" fillId="0" borderId="0" xfId="53" applyNumberFormat="1" applyFont="1" applyFill="1" applyAlignment="1">
      <alignment horizontal="center" vertical="center" wrapText="1"/>
      <protection/>
    </xf>
    <xf numFmtId="2" fontId="27" fillId="0" borderId="0" xfId="53" applyNumberFormat="1" applyFont="1" applyFill="1" applyAlignment="1">
      <alignment horizontal="center" vertical="center" wrapText="1"/>
      <protection/>
    </xf>
    <xf numFmtId="0" fontId="15" fillId="0" borderId="0" xfId="53" applyFont="1" applyFill="1">
      <alignment/>
      <protection/>
    </xf>
    <xf numFmtId="0" fontId="28" fillId="0" borderId="0" xfId="0" applyFont="1" applyAlignment="1">
      <alignment/>
    </xf>
    <xf numFmtId="0" fontId="29" fillId="0" borderId="10" xfId="0" applyFont="1" applyFill="1" applyBorder="1" applyAlignment="1">
      <alignment horizontal="right"/>
    </xf>
    <xf numFmtId="14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vertical="center" wrapText="1"/>
    </xf>
    <xf numFmtId="0" fontId="69" fillId="0" borderId="10" xfId="0" applyFont="1" applyBorder="1" applyAlignment="1">
      <alignment horizontal="left"/>
    </xf>
    <xf numFmtId="0" fontId="69" fillId="0" borderId="0" xfId="0" applyFont="1" applyBorder="1" applyAlignment="1">
      <alignment/>
    </xf>
    <xf numFmtId="0" fontId="69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left"/>
    </xf>
    <xf numFmtId="4" fontId="0" fillId="0" borderId="0" xfId="0" applyNumberFormat="1" applyAlignment="1">
      <alignment horizontal="center" vertical="center" wrapText="1"/>
    </xf>
    <xf numFmtId="4" fontId="69" fillId="0" borderId="10" xfId="0" applyNumberFormat="1" applyFont="1" applyBorder="1" applyAlignment="1">
      <alignment horizontal="center" vertical="center" wrapText="1"/>
    </xf>
    <xf numFmtId="4" fontId="69" fillId="0" borderId="0" xfId="0" applyNumberFormat="1" applyFont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78" fillId="0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172" fontId="79" fillId="0" borderId="0" xfId="0" applyNumberFormat="1" applyFont="1" applyAlignment="1">
      <alignment horizontal="center"/>
    </xf>
    <xf numFmtId="4" fontId="79" fillId="0" borderId="0" xfId="0" applyNumberFormat="1" applyFont="1" applyAlignment="1">
      <alignment/>
    </xf>
    <xf numFmtId="0" fontId="80" fillId="0" borderId="0" xfId="0" applyFont="1" applyAlignment="1">
      <alignment horizontal="center" vertical="center" wrapText="1"/>
    </xf>
    <xf numFmtId="2" fontId="79" fillId="0" borderId="10" xfId="0" applyNumberFormat="1" applyFont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center" vertical="center" wrapText="1"/>
    </xf>
    <xf numFmtId="2" fontId="26" fillId="0" borderId="0" xfId="0" applyNumberFormat="1" applyFont="1" applyAlignment="1">
      <alignment horizontal="center" vertical="center" wrapText="1"/>
    </xf>
    <xf numFmtId="2" fontId="79" fillId="0" borderId="14" xfId="0" applyNumberFormat="1" applyFont="1" applyBorder="1" applyAlignment="1">
      <alignment horizontal="center" vertical="center" wrapText="1"/>
    </xf>
    <xf numFmtId="2" fontId="80" fillId="0" borderId="10" xfId="0" applyNumberFormat="1" applyFont="1" applyBorder="1" applyAlignment="1">
      <alignment horizontal="center" vertical="center" wrapText="1"/>
    </xf>
    <xf numFmtId="2" fontId="80" fillId="0" borderId="0" xfId="0" applyNumberFormat="1" applyFont="1" applyAlignment="1">
      <alignment horizontal="center" vertical="center" wrapText="1"/>
    </xf>
    <xf numFmtId="172" fontId="79" fillId="0" borderId="10" xfId="0" applyNumberFormat="1" applyFont="1" applyBorder="1" applyAlignment="1">
      <alignment horizontal="center" vertical="center" wrapText="1"/>
    </xf>
    <xf numFmtId="4" fontId="79" fillId="0" borderId="10" xfId="0" applyNumberFormat="1" applyFont="1" applyBorder="1" applyAlignment="1">
      <alignment horizontal="center" vertical="center" wrapText="1"/>
    </xf>
    <xf numFmtId="2" fontId="79" fillId="0" borderId="0" xfId="0" applyNumberFormat="1" applyFont="1" applyAlignment="1">
      <alignment horizontal="center" vertical="center" wrapText="1"/>
    </xf>
    <xf numFmtId="2" fontId="79" fillId="0" borderId="0" xfId="0" applyNumberFormat="1" applyFont="1" applyBorder="1" applyAlignment="1">
      <alignment horizontal="center" vertical="center" wrapText="1"/>
    </xf>
    <xf numFmtId="172" fontId="79" fillId="0" borderId="0" xfId="0" applyNumberFormat="1" applyFont="1" applyAlignment="1">
      <alignment horizontal="center" vertical="center" wrapText="1"/>
    </xf>
    <xf numFmtId="4" fontId="79" fillId="0" borderId="0" xfId="0" applyNumberFormat="1" applyFont="1" applyAlignment="1">
      <alignment horizontal="center" vertical="center" wrapText="1"/>
    </xf>
    <xf numFmtId="2" fontId="81" fillId="0" borderId="0" xfId="0" applyNumberFormat="1" applyFont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right" vertical="top" wrapText="1"/>
    </xf>
    <xf numFmtId="0" fontId="21" fillId="0" borderId="10" xfId="0" applyFont="1" applyBorder="1" applyAlignment="1">
      <alignment horizontal="right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0" xfId="0" applyBorder="1" applyAlignment="1">
      <alignment vertical="top" wrapText="1"/>
    </xf>
    <xf numFmtId="173" fontId="0" fillId="0" borderId="10" xfId="0" applyNumberFormat="1" applyBorder="1" applyAlignment="1">
      <alignment horizontal="center"/>
    </xf>
    <xf numFmtId="0" fontId="0" fillId="0" borderId="10" xfId="0" applyBorder="1" applyAlignment="1">
      <alignment vertical="top"/>
    </xf>
    <xf numFmtId="0" fontId="30" fillId="0" borderId="15" xfId="0" applyFont="1" applyFill="1" applyBorder="1" applyAlignment="1">
      <alignment vertical="top" wrapText="1"/>
    </xf>
    <xf numFmtId="0" fontId="25" fillId="0" borderId="0" xfId="0" applyFont="1" applyAlignment="1">
      <alignment horizontal="left" indent="1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2" fillId="0" borderId="0" xfId="0" applyFont="1" applyBorder="1" applyAlignment="1">
      <alignment horizontal="left" wrapText="1"/>
    </xf>
    <xf numFmtId="0" fontId="21" fillId="0" borderId="0" xfId="0" applyFont="1" applyBorder="1" applyAlignment="1">
      <alignment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69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4" fontId="80" fillId="0" borderId="10" xfId="0" applyNumberFormat="1" applyFont="1" applyBorder="1" applyAlignment="1">
      <alignment horizontal="center" vertical="center" wrapText="1"/>
    </xf>
    <xf numFmtId="172" fontId="8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left"/>
    </xf>
    <xf numFmtId="2" fontId="0" fillId="0" borderId="10" xfId="0" applyNumberFormat="1" applyBorder="1" applyAlignment="1">
      <alignment vertical="center" wrapText="1"/>
    </xf>
    <xf numFmtId="2" fontId="0" fillId="0" borderId="10" xfId="0" applyNumberFormat="1" applyBorder="1" applyAlignment="1">
      <alignment wrapText="1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1" fontId="81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/>
    </xf>
    <xf numFmtId="0" fontId="2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0" fillId="0" borderId="14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20" fillId="0" borderId="1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21" fillId="0" borderId="12" xfId="0" applyFont="1" applyFill="1" applyBorder="1" applyAlignment="1">
      <alignment vertical="top" wrapText="1"/>
    </xf>
    <xf numFmtId="165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170" fontId="0" fillId="0" borderId="10" xfId="62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0" xfId="0" applyFill="1" applyAlignment="1">
      <alignment/>
    </xf>
    <xf numFmtId="14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vertical="center" wrapText="1"/>
    </xf>
    <xf numFmtId="2" fontId="0" fillId="35" borderId="10" xfId="0" applyNumberFormat="1" applyFill="1" applyBorder="1" applyAlignment="1">
      <alignment vertical="center"/>
    </xf>
    <xf numFmtId="0" fontId="0" fillId="35" borderId="10" xfId="0" applyFill="1" applyBorder="1" applyAlignment="1">
      <alignment/>
    </xf>
    <xf numFmtId="0" fontId="0" fillId="35" borderId="12" xfId="0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20" fillId="35" borderId="12" xfId="0" applyFont="1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2" xfId="0" applyFill="1" applyBorder="1" applyAlignment="1">
      <alignment vertical="center" wrapText="1"/>
    </xf>
    <xf numFmtId="0" fontId="21" fillId="35" borderId="12" xfId="0" applyFont="1" applyFill="1" applyBorder="1" applyAlignment="1">
      <alignment vertical="top" wrapText="1"/>
    </xf>
    <xf numFmtId="170" fontId="0" fillId="0" borderId="10" xfId="62" applyNumberFormat="1" applyFont="1" applyBorder="1" applyAlignment="1">
      <alignment vertical="center"/>
    </xf>
    <xf numFmtId="14" fontId="0" fillId="0" borderId="12" xfId="0" applyNumberForma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top" wrapText="1"/>
    </xf>
    <xf numFmtId="0" fontId="0" fillId="35" borderId="10" xfId="0" applyFill="1" applyBorder="1" applyAlignment="1">
      <alignment horizontal="left" vertical="center"/>
    </xf>
    <xf numFmtId="170" fontId="7" fillId="35" borderId="10" xfId="62" applyNumberFormat="1" applyFont="1" applyFill="1" applyBorder="1" applyAlignment="1">
      <alignment vertical="center"/>
    </xf>
    <xf numFmtId="14" fontId="0" fillId="35" borderId="10" xfId="0" applyNumberFormat="1" applyFill="1" applyBorder="1" applyAlignment="1">
      <alignment horizontal="left" vertical="center"/>
    </xf>
    <xf numFmtId="0" fontId="21" fillId="0" borderId="0" xfId="0" applyFont="1" applyBorder="1" applyAlignment="1">
      <alignment/>
    </xf>
    <xf numFmtId="4" fontId="33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left" wrapText="1" indent="1"/>
    </xf>
    <xf numFmtId="4" fontId="0" fillId="0" borderId="10" xfId="0" applyNumberFormat="1" applyBorder="1" applyAlignment="1">
      <alignment horizontal="left" wrapText="1" indent="2"/>
    </xf>
    <xf numFmtId="0" fontId="0" fillId="0" borderId="11" xfId="0" applyBorder="1" applyAlignment="1">
      <alignment/>
    </xf>
    <xf numFmtId="0" fontId="0" fillId="0" borderId="0" xfId="0" applyAlignment="1">
      <alignment vertical="top"/>
    </xf>
    <xf numFmtId="0" fontId="82" fillId="0" borderId="17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82" fillId="0" borderId="19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justify" vertical="center" wrapText="1"/>
    </xf>
    <xf numFmtId="0" fontId="82" fillId="0" borderId="19" xfId="0" applyFont="1" applyBorder="1" applyAlignment="1">
      <alignment vertical="center" wrapText="1"/>
    </xf>
    <xf numFmtId="0" fontId="82" fillId="0" borderId="20" xfId="0" applyFont="1" applyBorder="1" applyAlignment="1">
      <alignment vertical="center" wrapText="1"/>
    </xf>
    <xf numFmtId="0" fontId="82" fillId="0" borderId="21" xfId="0" applyFont="1" applyBorder="1" applyAlignment="1">
      <alignment vertical="center" wrapText="1"/>
    </xf>
    <xf numFmtId="0" fontId="30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justify" vertical="center"/>
    </xf>
    <xf numFmtId="0" fontId="25" fillId="0" borderId="0" xfId="0" applyFont="1" applyAlignment="1">
      <alignment/>
    </xf>
    <xf numFmtId="0" fontId="21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21" fillId="0" borderId="10" xfId="0" applyFont="1" applyBorder="1" applyAlignment="1">
      <alignment vertical="top"/>
    </xf>
    <xf numFmtId="4" fontId="21" fillId="0" borderId="10" xfId="0" applyNumberFormat="1" applyFont="1" applyBorder="1" applyAlignment="1">
      <alignment horizontal="center" vertical="top"/>
    </xf>
    <xf numFmtId="0" fontId="21" fillId="0" borderId="0" xfId="0" applyFont="1" applyFill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top"/>
    </xf>
    <xf numFmtId="4" fontId="21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left"/>
    </xf>
    <xf numFmtId="0" fontId="31" fillId="0" borderId="0" xfId="42" applyAlignment="1" applyProtection="1">
      <alignment horizontal="left"/>
      <protection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82" fillId="0" borderId="22" xfId="0" applyFont="1" applyBorder="1" applyAlignment="1">
      <alignment vertical="center" wrapText="1"/>
    </xf>
    <xf numFmtId="0" fontId="82" fillId="0" borderId="19" xfId="0" applyFont="1" applyBorder="1" applyAlignment="1">
      <alignment vertical="center" wrapText="1"/>
    </xf>
    <xf numFmtId="0" fontId="82" fillId="0" borderId="22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19" xfId="0" applyFont="1" applyBorder="1" applyAlignment="1">
      <alignment horizontal="center" vertical="center" wrapText="1"/>
    </xf>
    <xf numFmtId="0" fontId="82" fillId="0" borderId="23" xfId="0" applyFont="1" applyBorder="1" applyAlignment="1">
      <alignment vertical="center" wrapText="1"/>
    </xf>
    <xf numFmtId="0" fontId="20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26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21" fillId="0" borderId="0" xfId="0" applyFont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39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69" fillId="0" borderId="0" xfId="0" applyFont="1" applyAlignment="1">
      <alignment horizontal="center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/>
    </xf>
    <xf numFmtId="0" fontId="69" fillId="0" borderId="10" xfId="0" applyFont="1" applyBorder="1" applyAlignment="1">
      <alignment horizontal="left"/>
    </xf>
    <xf numFmtId="2" fontId="3" fillId="0" borderId="10" xfId="0" applyNumberFormat="1" applyFont="1" applyFill="1" applyBorder="1" applyAlignment="1" quotePrefix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quotePrefix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 quotePrefix="1">
      <alignment horizontal="center" vertical="center" wrapText="1"/>
    </xf>
    <xf numFmtId="2" fontId="3" fillId="0" borderId="26" xfId="0" applyNumberFormat="1" applyFont="1" applyFill="1" applyBorder="1" applyAlignment="1" quotePrefix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left" vertical="center" wrapText="1"/>
    </xf>
    <xf numFmtId="2" fontId="3" fillId="0" borderId="15" xfId="0" applyNumberFormat="1" applyFont="1" applyBorder="1" applyAlignment="1">
      <alignment horizontal="left" vertical="center" wrapText="1"/>
    </xf>
    <xf numFmtId="2" fontId="3" fillId="0" borderId="14" xfId="0" applyNumberFormat="1" applyFont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left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2" fontId="5" fillId="0" borderId="14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2" fontId="10" fillId="0" borderId="12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left" vertical="center" wrapText="1"/>
    </xf>
    <xf numFmtId="2" fontId="10" fillId="0" borderId="15" xfId="0" applyNumberFormat="1" applyFont="1" applyFill="1" applyBorder="1" applyAlignment="1">
      <alignment horizontal="left" vertical="center" wrapText="1"/>
    </xf>
    <xf numFmtId="2" fontId="10" fillId="0" borderId="14" xfId="0" applyNumberFormat="1" applyFont="1" applyFill="1" applyBorder="1" applyAlignment="1">
      <alignment horizontal="left" vertical="center" wrapText="1"/>
    </xf>
    <xf numFmtId="4" fontId="15" fillId="0" borderId="0" xfId="54" applyNumberFormat="1" applyFont="1" applyAlignment="1">
      <alignment horizontal="right" vertical="center" wrapText="1"/>
      <protection/>
    </xf>
    <xf numFmtId="0" fontId="12" fillId="0" borderId="0" xfId="54" applyFont="1" applyAlignment="1">
      <alignment horizontal="left" vertical="center" wrapText="1"/>
      <protection/>
    </xf>
    <xf numFmtId="4" fontId="15" fillId="0" borderId="12" xfId="54" applyNumberFormat="1" applyFont="1" applyBorder="1" applyAlignment="1">
      <alignment horizontal="center" vertical="center" wrapText="1"/>
      <protection/>
    </xf>
    <xf numFmtId="4" fontId="15" fillId="0" borderId="14" xfId="54" applyNumberFormat="1" applyFont="1" applyBorder="1" applyAlignment="1">
      <alignment horizontal="center" vertical="center" wrapText="1"/>
      <protection/>
    </xf>
    <xf numFmtId="166" fontId="15" fillId="0" borderId="10" xfId="54" applyNumberFormat="1" applyFont="1" applyBorder="1" applyAlignment="1">
      <alignment horizontal="center" vertical="center" wrapText="1"/>
      <protection/>
    </xf>
    <xf numFmtId="0" fontId="15" fillId="0" borderId="0" xfId="54" applyFont="1" applyAlignment="1">
      <alignment horizontal="left" vertical="center" wrapText="1"/>
      <protection/>
    </xf>
    <xf numFmtId="0" fontId="15" fillId="0" borderId="0" xfId="54" applyFont="1" applyAlignment="1">
      <alignment horizontal="left" vertical="center" wrapText="1"/>
      <protection/>
    </xf>
    <xf numFmtId="4" fontId="13" fillId="0" borderId="0" xfId="0" applyNumberFormat="1" applyFont="1" applyAlignment="1">
      <alignment horizontal="right"/>
    </xf>
    <xf numFmtId="0" fontId="15" fillId="0" borderId="0" xfId="54" applyFont="1" applyAlignment="1">
      <alignment horizontal="center" vertical="center" wrapText="1"/>
      <protection/>
    </xf>
    <xf numFmtId="4" fontId="16" fillId="0" borderId="0" xfId="0" applyNumberFormat="1" applyFont="1" applyAlignment="1">
      <alignment horizontal="right" wrapText="1"/>
    </xf>
    <xf numFmtId="0" fontId="17" fillId="0" borderId="0" xfId="54" applyFont="1" applyAlignment="1">
      <alignment horizontal="center" vertical="center" wrapText="1"/>
      <protection/>
    </xf>
    <xf numFmtId="0" fontId="15" fillId="0" borderId="10" xfId="54" applyFont="1" applyBorder="1" applyAlignment="1">
      <alignment horizontal="center" vertical="center" wrapText="1"/>
      <protection/>
    </xf>
    <xf numFmtId="0" fontId="15" fillId="0" borderId="12" xfId="54" applyFont="1" applyBorder="1" applyAlignment="1">
      <alignment horizontal="center" vertical="center" wrapText="1"/>
      <protection/>
    </xf>
    <xf numFmtId="0" fontId="15" fillId="0" borderId="14" xfId="54" applyFont="1" applyBorder="1" applyAlignment="1">
      <alignment horizontal="center" vertical="center" wrapText="1"/>
      <protection/>
    </xf>
    <xf numFmtId="0" fontId="15" fillId="0" borderId="12" xfId="54" applyFont="1" applyFill="1" applyBorder="1" applyAlignment="1">
      <alignment horizontal="center" vertical="center" wrapText="1"/>
      <protection/>
    </xf>
    <xf numFmtId="0" fontId="15" fillId="0" borderId="14" xfId="54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center" wrapText="1"/>
    </xf>
    <xf numFmtId="4" fontId="15" fillId="0" borderId="12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4" fontId="15" fillId="0" borderId="14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49" fontId="21" fillId="0" borderId="0" xfId="53" applyNumberFormat="1" applyFont="1" applyFill="1" applyAlignment="1">
      <alignment horizontal="right" vertical="center" wrapText="1"/>
      <protection/>
    </xf>
    <xf numFmtId="0" fontId="22" fillId="0" borderId="0" xfId="53" applyFont="1" applyFill="1" applyBorder="1" applyAlignment="1">
      <alignment horizontal="center" vertical="center" wrapText="1"/>
      <protection/>
    </xf>
    <xf numFmtId="49" fontId="22" fillId="0" borderId="0" xfId="53" applyNumberFormat="1" applyFont="1" applyFill="1" applyAlignment="1">
      <alignment horizontal="left" vertical="center" wrapText="1"/>
      <protection/>
    </xf>
    <xf numFmtId="1" fontId="24" fillId="0" borderId="0" xfId="53" applyNumberFormat="1" applyFont="1" applyFill="1" applyAlignment="1">
      <alignment horizontal="right"/>
      <protection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2" fontId="81" fillId="0" borderId="0" xfId="0" applyNumberFormat="1" applyFont="1" applyAlignment="1">
      <alignment horizontal="left" vertical="center" wrapText="1"/>
    </xf>
    <xf numFmtId="1" fontId="81" fillId="0" borderId="0" xfId="0" applyNumberFormat="1" applyFont="1" applyAlignment="1">
      <alignment horizontal="center"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172" fontId="26" fillId="0" borderId="12" xfId="0" applyNumberFormat="1" applyFont="1" applyBorder="1" applyAlignment="1">
      <alignment horizontal="center" vertical="center" wrapText="1"/>
    </xf>
    <xf numFmtId="172" fontId="26" fillId="0" borderId="14" xfId="0" applyNumberFormat="1" applyFont="1" applyBorder="1" applyAlignment="1">
      <alignment horizontal="center" vertical="center" wrapText="1"/>
    </xf>
    <xf numFmtId="4" fontId="80" fillId="0" borderId="12" xfId="0" applyNumberFormat="1" applyFont="1" applyBorder="1" applyAlignment="1">
      <alignment horizontal="center" vertical="center" wrapText="1"/>
    </xf>
    <xf numFmtId="4" fontId="80" fillId="0" borderId="14" xfId="0" applyNumberFormat="1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172" fontId="80" fillId="0" borderId="10" xfId="0" applyNumberFormat="1" applyFont="1" applyBorder="1" applyAlignment="1">
      <alignment horizontal="center" vertical="center" wrapText="1"/>
    </xf>
    <xf numFmtId="4" fontId="80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ы на 2002г с 1-01" xfId="53"/>
    <cellStyle name="Обычный_транспорт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-0099\shared\&#1054;&#1041;&#1052;&#1045;&#1053;\&#1058;&#1077;&#1093;&#1085;&#1086;&#1083;&#1086;&#1075;&#1080;&#1095;&#1077;&#1089;&#1082;&#1086;&#1077;%20&#1087;&#1088;&#1080;&#1089;&#1086;&#1077;&#1076;&#1080;&#1085;&#1077;&#1085;&#1080;&#1077;%20&#1092;&#1072;&#1082;&#1090;\&#1055;&#1077;&#1088;&#1077;&#1085;&#1086;&#1089;%20&#1079;&#1072;&#1090;&#1088;&#1072;&#1090;%20&#1087;&#1086;%20&#1090;&#1077;&#1093;&#1085;&#1086;&#1083;&#1086;&#1075;&#1080;&#1095;&#1077;&#1089;&#1082;&#1086;&#1084;&#1091;%20&#1087;&#1088;&#1080;&#1089;&#1086;&#1077;&#1076;&#1080;&#1085;&#1077;&#1085;&#1080;&#1102;%202016%20(&#1074;%20&#1085;&#1086;&#1074;&#1086;&#1084;%20&#1092;&#1086;&#1088;&#1084;&#1072;&#1090;&#1077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-0099\shared\&#1054;&#1041;&#1052;&#1045;&#1053;\&#1058;&#1077;&#1093;&#1085;&#1086;&#1083;&#1086;&#1075;&#1080;&#1095;&#1077;&#1089;&#1082;&#1086;&#1077;%20&#1087;&#1088;&#1080;&#1089;&#1086;&#1077;&#1076;&#1080;&#1085;&#1077;&#1085;&#1080;&#1077;%20&#1092;&#1072;&#1082;&#1090;\&#1058;&#1077;&#1093;&#1085;&#1086;&#1083;&#1086;&#1075;&#1080;&#1095;&#1077;&#1089;&#1082;&#1086;&#1077;%20&#1087;&#1088;&#1080;&#1089;&#1086;&#1077;&#1076;&#1080;&#1085;&#1077;&#1085;&#1080;&#1077;%20&#1092;&#1072;&#1082;&#1090;%202017\&#1055;&#1077;&#1088;&#1077;&#1085;&#1086;&#1089;%20&#1079;&#1072;&#1090;&#1088;&#1072;&#1090;%20&#1087;&#1086;%20&#1090;&#1077;&#1093;&#1085;&#1086;&#1083;&#1086;&#1075;&#1080;&#1095;&#1077;&#1089;&#1082;&#1086;&#1084;&#1091;%20&#1087;&#1088;&#1080;&#1089;&#1086;&#1077;&#1076;&#1080;&#1085;&#1077;&#1085;&#1080;&#1102;%20&#1074;%204%20&#1082;&#1074;&#1072;&#1088;&#1090;&#1072;&#1083;&#1077;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-0099\shared\&#1054;&#1041;&#1052;&#1045;&#1053;\&#1058;&#1077;&#1093;&#1085;&#1086;&#1083;&#1086;&#1075;&#1080;&#1095;&#1077;&#1089;&#1082;&#1086;&#1077;%20&#1087;&#1088;&#1080;&#1089;&#1086;&#1077;&#1076;&#1080;&#1085;&#1077;&#1085;&#1080;&#1077;%20&#1092;&#1072;&#1082;&#1090;\&#1058;&#1077;&#1093;&#1085;&#1086;&#1083;&#1086;&#1075;&#1080;&#1095;&#1077;&#1089;&#1082;&#1086;&#1077;%20&#1087;&#1088;&#1080;&#1089;&#1086;&#1077;&#1076;&#1080;&#1085;&#1077;&#1085;&#1080;&#1077;%20&#1092;&#1072;&#1082;&#1090;%202018\&#1055;&#1077;&#1088;&#1077;&#1085;&#1086;&#1089;%20&#1079;&#1072;&#1090;&#1088;&#1072;&#1090;%20&#1087;&#1086;%20&#1090;&#1077;&#1093;&#1085;&#1086;&#1083;&#1086;&#1075;&#1080;&#1095;&#1077;&#1089;&#1082;&#1086;&#1084;&#1091;%20&#1087;&#1088;&#1080;&#1089;&#1086;&#1077;&#1076;&#1080;&#1085;&#1077;&#1085;&#1080;&#1102;%20&#1074;%204%20&#1082;&#1074;&#1072;&#1088;&#1090;&#1072;&#1083;&#1077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-0099\shared\&#1044;&#1083;&#1103;%20&#1055;&#1069;&#1054;\&#1058;&#1077;&#1093;%20&#1087;&#1088;&#1080;&#1089;&#1086;&#1077;&#1076;&#1080;&#1085;&#1077;&#1085;&#1080;&#1077;\&#1055;&#1077;&#1088;&#1077;&#1095;&#1077;&#1085;&#1100;%20&#1090;&#1077;&#1093;.&#1087;&#1088;&#1080;&#1089;&#1086;&#1077;&#1076;&#1080;&#1085;&#1077;&#1085;&#1080;&#1081;%20&#1089;%202018%20&#1075;&#1086;&#1076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41;&#1052;&#1045;&#1053;\&#1058;&#1077;&#1093;&#1085;&#1086;&#1083;&#1086;&#1075;&#1080;&#1095;&#1077;&#1089;&#1082;&#1086;&#1077;%20&#1087;&#1088;&#1080;&#1089;&#1086;&#1077;&#1076;&#1080;&#1085;&#1077;&#1085;&#1080;&#1077;%20&#1092;&#1072;&#1082;&#1090;\&#1058;&#1077;&#1093;&#1085;&#1086;&#1083;&#1086;&#1075;&#1080;&#1095;&#1077;&#1089;&#1082;&#1086;&#1077;%20&#1087;&#1088;&#1080;&#1089;&#1086;&#1077;&#1076;&#1080;&#1085;&#1077;&#1085;&#1080;&#1077;%20&#1092;&#1072;&#1082;&#1090;%202020\&#1055;&#1077;&#1088;&#1077;&#1085;&#1086;&#1089;%20&#1079;&#1072;&#1090;&#1088;&#1072;&#1090;%20&#1087;&#1086;%20&#1090;&#1077;&#1093;&#1085;&#1086;&#1083;&#1086;&#1075;&#1080;&#1095;&#1077;&#1089;&#1082;&#1086;&#1084;&#1091;%20&#1087;&#1088;&#1080;&#1089;&#1086;&#1077;&#1076;&#1080;&#1085;&#1077;&#1085;&#1080;&#1102;%20&#1074;%202020%20&#1075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41;&#1052;&#1045;&#1053;\&#1058;&#1077;&#1093;&#1085;&#1086;&#1083;&#1086;&#1075;&#1080;&#1095;&#1077;&#1089;&#1082;&#1086;&#1077;%20&#1087;&#1088;&#1080;&#1089;&#1086;&#1077;&#1076;&#1080;&#1085;&#1077;&#1085;&#1080;&#1077;%20&#1092;&#1072;&#1082;&#1090;\&#1058;&#1077;&#1093;&#1085;&#1086;&#1083;&#1086;&#1075;&#1080;&#1095;&#1077;&#1089;&#1082;&#1086;&#1077;%20&#1087;&#1088;&#1080;&#1089;&#1086;&#1077;&#1076;&#1080;&#1085;&#1077;&#1085;&#1080;&#1077;%20&#1092;&#1072;&#1082;&#1090;%202019\&#1055;&#1077;&#1088;&#1077;&#1085;&#1086;&#1089;%20&#1079;&#1072;&#1090;&#1088;&#1072;&#1090;%20&#1087;&#1086;%20&#1090;&#1077;&#1093;&#1085;&#1086;&#1083;&#1086;&#1075;&#1080;&#1095;&#1077;&#1089;&#1082;&#1086;&#1084;&#1091;%20&#1087;&#1088;&#1080;&#1089;&#1086;&#1077;&#1076;&#1080;&#1085;&#1077;&#1085;&#1080;&#1102;%20&#1074;%202019%20&#1075;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41;&#1052;&#1045;&#1053;\&#1058;&#1077;&#1093;&#1085;&#1086;&#1083;&#1086;&#1075;&#1080;&#1095;&#1077;&#1089;&#1082;&#1086;&#1077;%20&#1087;&#1088;&#1080;&#1089;&#1086;&#1077;&#1076;&#1080;&#1085;&#1077;&#1085;&#1080;&#1077;%20&#1092;&#1072;&#1082;&#1090;\&#1058;&#1077;&#1093;&#1085;&#1086;&#1083;&#1086;&#1075;&#1080;&#1095;&#1077;&#1089;&#1082;&#1086;&#1077;%20&#1087;&#1088;&#1080;&#1089;&#1086;&#1077;&#1076;&#1080;&#1085;&#1077;&#1085;&#1080;&#1077;%20&#1092;&#1072;&#1082;&#1090;%202021\&#1055;&#1077;&#1088;&#1077;&#1085;&#1086;&#1089;%20&#1079;&#1072;&#1090;&#1088;&#1072;&#1090;%20&#1087;&#1086;%20&#1090;&#1077;&#1093;&#1085;&#1086;&#1083;&#1086;&#1075;&#1080;&#1095;&#1077;&#1089;&#1082;&#1086;&#1084;&#1091;%20&#1087;&#1088;&#1080;&#1089;&#1086;&#1077;&#1076;&#1080;&#1085;&#1077;&#1085;&#1080;&#1102;%20&#1074;%202021%20&#1075;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41;&#1052;&#1045;&#1053;\&#1076;&#1083;&#1103;%20&#1084;&#1077;&#1085;&#1103;\&#1044;&#1083;&#1103;%20&#1056;&#1069;&#1050;\&#1058;&#1072;&#1088;&#1080;&#1092;&#1099;%202021\&#1069;&#1058;&#1050;\&#1058;&#1077;&#1093;&#1085;&#1086;&#1083;&#1086;&#1075;&#1080;&#1095;&#1077;&#1089;&#1082;&#1086;&#1077;%20&#1087;&#1088;&#1080;&#1089;&#1086;&#1077;&#1076;&#1080;&#1085;&#1077;&#1085;&#1080;&#1077;\&#1055;&#1088;&#1086;&#1075;&#1085;&#1086;&#1079;&#1085;&#1099;&#1077;%20&#1089;&#1074;&#1077;&#1076;&#1077;&#1085;&#1080;&#1103;%20&#1086;%20&#1088;&#1072;&#1089;&#1093;&#1086;&#1076;&#1072;&#1093;%20&#1085;&#1072;%20&#1090;&#1077;&#1093;&#1085;&#1086;&#1083;&#1086;&#1075;&#1080;&#1095;&#1077;&#1089;&#1082;&#1086;&#1077;%20&#1087;&#1088;&#1080;&#1089;&#1086;&#1077;&#1076;&#1080;&#1085;&#1077;&#1085;&#1080;&#1077;%20&#1085;&#1072;%202021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ручка всего ЭТК ТГКом"/>
      <sheetName val="расходы всего ЭТК ТГКом"/>
      <sheetName val="расходы ЭТК"/>
    </sheetNames>
    <sheetDataSet>
      <sheetData sheetId="2">
        <row r="6">
          <cell r="P6">
            <v>19092.807203816603</v>
          </cell>
        </row>
        <row r="7">
          <cell r="P7">
            <v>25807.6041865834</v>
          </cell>
        </row>
        <row r="8">
          <cell r="P8">
            <v>19162.86228290641</v>
          </cell>
        </row>
        <row r="9">
          <cell r="P9">
            <v>34475.34526749358</v>
          </cell>
        </row>
        <row r="10">
          <cell r="P10">
            <v>16488.572642302424</v>
          </cell>
        </row>
        <row r="11">
          <cell r="P11">
            <v>17120.405434497578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 всего ЭТК"/>
      <sheetName val="расходы ЭТК"/>
      <sheetName val="расходы ЭТК за год"/>
      <sheetName val="расходы всего ТГКом"/>
      <sheetName val="расходы ТГКом"/>
      <sheetName val="расходы всего ОРЭК"/>
      <sheetName val="расходы ОРЭК"/>
    </sheetNames>
    <sheetDataSet>
      <sheetData sheetId="2">
        <row r="6">
          <cell r="P6">
            <v>19583.06511148997</v>
          </cell>
        </row>
        <row r="7">
          <cell r="P7">
            <v>21163.473604077735</v>
          </cell>
        </row>
        <row r="8">
          <cell r="P8">
            <v>20158.455928362095</v>
          </cell>
        </row>
        <row r="9">
          <cell r="P9">
            <v>20743.04410748992</v>
          </cell>
        </row>
        <row r="10">
          <cell r="P10">
            <v>23631.86737603588</v>
          </cell>
        </row>
        <row r="11">
          <cell r="P11">
            <v>14416.833060360526</v>
          </cell>
        </row>
        <row r="12">
          <cell r="P12">
            <v>264576.3661471738</v>
          </cell>
        </row>
        <row r="13">
          <cell r="P13">
            <v>70945.95078271028</v>
          </cell>
        </row>
        <row r="14">
          <cell r="P14">
            <v>22675.15639400697</v>
          </cell>
        </row>
        <row r="15">
          <cell r="P15">
            <v>21034.225905993033</v>
          </cell>
        </row>
        <row r="16">
          <cell r="P16">
            <v>23724.22183287185</v>
          </cell>
        </row>
        <row r="17">
          <cell r="P17">
            <v>16131.722791128146</v>
          </cell>
        </row>
        <row r="18">
          <cell r="P18">
            <v>20801.56684380048</v>
          </cell>
        </row>
        <row r="19">
          <cell r="P19">
            <v>14966.888500915278</v>
          </cell>
        </row>
        <row r="20">
          <cell r="L20">
            <v>2302.968313256285</v>
          </cell>
          <cell r="M20">
            <v>435734.92000000004</v>
          </cell>
          <cell r="N20">
            <v>131410.7875</v>
          </cell>
          <cell r="O20">
            <v>5104.162573159648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 всего ЭТК"/>
      <sheetName val="расходы ЭТК"/>
      <sheetName val="расходы ЭТК свод год"/>
      <sheetName val="расходы всего ТГКом"/>
      <sheetName val="расходы ТГКом"/>
      <sheetName val="расходы всего ОРЭК"/>
      <sheetName val="расходы ОРЭК"/>
    </sheetNames>
    <sheetDataSet>
      <sheetData sheetId="2">
        <row r="6">
          <cell r="E6">
            <v>27058.942438644593</v>
          </cell>
        </row>
        <row r="7">
          <cell r="E7">
            <v>27530.50907035541</v>
          </cell>
        </row>
        <row r="8">
          <cell r="E8">
            <v>27011.3664025286</v>
          </cell>
        </row>
        <row r="9">
          <cell r="E9">
            <v>28889.622404617166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"/>
      <sheetName val="Договор"/>
      <sheetName val="ТУ"/>
      <sheetName val="Обязанности ЭТК"/>
      <sheetName val="Тех.задания"/>
      <sheetName val="для Тимошенко"/>
      <sheetName val="Учет"/>
    </sheetNames>
    <sheetDataSet>
      <sheetData sheetId="6">
        <row r="45">
          <cell r="E45">
            <v>231.07</v>
          </cell>
        </row>
        <row r="46">
          <cell r="E46" t="str">
            <v>3х630</v>
          </cell>
        </row>
        <row r="47">
          <cell r="E47">
            <v>1600</v>
          </cell>
        </row>
        <row r="48">
          <cell r="E48">
            <v>15</v>
          </cell>
        </row>
        <row r="49">
          <cell r="E49">
            <v>15</v>
          </cell>
        </row>
        <row r="50">
          <cell r="E50">
            <v>1</v>
          </cell>
        </row>
        <row r="51">
          <cell r="E51">
            <v>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 всего ЭТК 1 кв"/>
      <sheetName val="расходы ЭТК 1 кв"/>
      <sheetName val="расходы всего ЭТК 2 кв"/>
      <sheetName val="расходы ЭТК 2 кв"/>
      <sheetName val="расходы всего ЭТК 3 кв"/>
      <sheetName val="расходы ЭТК 3 кв"/>
      <sheetName val="расходы ЭТК свод год"/>
      <sheetName val="расходы всего ТГКом"/>
      <sheetName val="расходы ТГКом"/>
      <sheetName val="расходы всего ОРЭК"/>
      <sheetName val="расходы ОРЭК"/>
    </sheetNames>
    <sheetDataSet>
      <sheetData sheetId="6">
        <row r="21">
          <cell r="E21">
            <v>92656.82567872235</v>
          </cell>
        </row>
        <row r="22">
          <cell r="E22">
            <v>77113.54365947764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 всего ЭТК 1 кв"/>
      <sheetName val="расходы ЭТК 1 кв"/>
      <sheetName val="расходы всего ЭТК 2 кв"/>
      <sheetName val="расходы ЭТК 2 кв"/>
      <sheetName val="расходы всего ЭТК 3 кв"/>
      <sheetName val="расходы ЭТК 3 кв"/>
      <sheetName val="расходы ЭТК свод год"/>
      <sheetName val="расходы всего ТГКом"/>
      <sheetName val="расходы ТГКом"/>
      <sheetName val="расходы всего ОРЭК"/>
      <sheetName val="расходы ОРЭК"/>
    </sheetNames>
    <sheetDataSet>
      <sheetData sheetId="6">
        <row r="21">
          <cell r="E21">
            <v>187566.5419253175</v>
          </cell>
        </row>
        <row r="22">
          <cell r="E22">
            <v>152426.35338528248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 всего ЭТК 1 кв"/>
      <sheetName val="расходы ЭТК 1 кв"/>
      <sheetName val="расходы всего ЭТК 2 кв"/>
      <sheetName val="расходы ЭТК 2 кв"/>
      <sheetName val="расходы всего ЭТК 3 кв"/>
      <sheetName val="расходы ЭТК 3 кв"/>
      <sheetName val="расходы ЭТК свод год"/>
      <sheetName val="расходы всего ТГКом"/>
      <sheetName val="расходы ТГКом"/>
    </sheetNames>
    <sheetDataSet>
      <sheetData sheetId="2">
        <row r="7">
          <cell r="A7" t="str">
            <v>Марченко Людмила Александровна</v>
          </cell>
        </row>
      </sheetData>
      <sheetData sheetId="3">
        <row r="6">
          <cell r="B6" t="str">
            <v>14.04.2021 г.</v>
          </cell>
          <cell r="C6" t="str">
            <v>52 от 23.12.2020</v>
          </cell>
          <cell r="K6">
            <v>978.079872</v>
          </cell>
          <cell r="L6">
            <v>12581.240000000002</v>
          </cell>
          <cell r="M6">
            <v>3824.69696</v>
          </cell>
          <cell r="O6">
            <v>16650.456928000003</v>
          </cell>
        </row>
        <row r="7">
          <cell r="A7" t="str">
            <v>Хабарова Ольга Викторовна</v>
          </cell>
          <cell r="B7" t="str">
            <v>14.04.2021 г.</v>
          </cell>
          <cell r="C7" t="str">
            <v>51 от 23.12.2020 г.</v>
          </cell>
          <cell r="L7">
            <v>12581.240000000002</v>
          </cell>
          <cell r="M7">
            <v>3824.69696</v>
          </cell>
          <cell r="O7">
            <v>16650.456928000003</v>
          </cell>
        </row>
        <row r="8">
          <cell r="A8" t="str">
            <v>Шарова Елена Сергеевна</v>
          </cell>
          <cell r="B8" t="str">
            <v>14.04.2021 г.</v>
          </cell>
          <cell r="C8" t="str">
            <v>54 от 24.12.2020 г.</v>
          </cell>
          <cell r="L8">
            <v>12581.240000000002</v>
          </cell>
          <cell r="M8">
            <v>3824.69696</v>
          </cell>
          <cell r="O8">
            <v>16650.456928000003</v>
          </cell>
        </row>
        <row r="9">
          <cell r="A9" t="str">
            <v>Марченко Олег Николаевич</v>
          </cell>
          <cell r="B9" t="str">
            <v>14.04.2021 г.</v>
          </cell>
          <cell r="C9" t="str">
            <v>53 от 24.12.2020 г.</v>
          </cell>
          <cell r="L9">
            <v>12581.240000000002</v>
          </cell>
          <cell r="M9">
            <v>3824.69696</v>
          </cell>
          <cell r="O9">
            <v>16650.456928000003</v>
          </cell>
        </row>
      </sheetData>
      <sheetData sheetId="6">
        <row r="21">
          <cell r="E21">
            <v>26427.415622377233</v>
          </cell>
        </row>
        <row r="22">
          <cell r="E22">
            <v>40174.41208962278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ные сведения о расходах"/>
      <sheetName val="Стандарт.тарифные ставки"/>
      <sheetName val="Расходы на мероприятия"/>
      <sheetName val="Расчет НВВ"/>
      <sheetName val="Фактические данные о ПС"/>
      <sheetName val="Фактические данные о ЛЭП"/>
      <sheetName val="Тех.прис. за текущий год"/>
      <sheetName val="Заявки на текущий год"/>
    </sheetNames>
    <sheetDataSet>
      <sheetData sheetId="0">
        <row r="3">
          <cell r="A3" t="str">
            <v>АО "Электротехнический комплекс"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info@mail.ru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31.57421875" style="253" customWidth="1"/>
    <col min="2" max="2" width="8.8515625" style="253" customWidth="1"/>
    <col min="3" max="3" width="5.140625" style="253" customWidth="1"/>
    <col min="4" max="4" width="8.421875" style="253" customWidth="1"/>
    <col min="5" max="5" width="36.57421875" style="253" customWidth="1"/>
    <col min="6" max="16384" width="9.140625" style="253" customWidth="1"/>
  </cols>
  <sheetData>
    <row r="1" spans="1:5" ht="15.75">
      <c r="A1" s="358" t="s">
        <v>368</v>
      </c>
      <c r="B1" s="358"/>
      <c r="C1" s="358"/>
      <c r="D1" s="358"/>
      <c r="E1" s="358"/>
    </row>
    <row r="2" spans="1:5" ht="15.75">
      <c r="A2" s="358" t="s">
        <v>369</v>
      </c>
      <c r="B2" s="358"/>
      <c r="C2" s="358"/>
      <c r="D2" s="358"/>
      <c r="E2" s="358"/>
    </row>
    <row r="3" spans="1:5" ht="18.75">
      <c r="A3" s="268" t="s">
        <v>370</v>
      </c>
      <c r="B3" s="269"/>
      <c r="C3" s="270" t="s">
        <v>371</v>
      </c>
      <c r="D3" s="271">
        <v>2022</v>
      </c>
      <c r="E3" s="272" t="s">
        <v>372</v>
      </c>
    </row>
    <row r="4" ht="15.75">
      <c r="A4" s="273"/>
    </row>
    <row r="5" spans="1:4" ht="15.75">
      <c r="A5" s="274"/>
      <c r="B5" s="275"/>
      <c r="C5" s="275"/>
      <c r="D5" s="275"/>
    </row>
    <row r="6" spans="1:5" ht="15.75">
      <c r="A6" s="253" t="s">
        <v>373</v>
      </c>
      <c r="B6" s="356" t="s">
        <v>374</v>
      </c>
      <c r="C6" s="356"/>
      <c r="D6" s="356"/>
      <c r="E6" s="356"/>
    </row>
    <row r="7" spans="1:5" ht="15.75">
      <c r="A7" s="253" t="s">
        <v>375</v>
      </c>
      <c r="B7" s="356" t="s">
        <v>376</v>
      </c>
      <c r="C7" s="356"/>
      <c r="D7" s="356"/>
      <c r="E7" s="356"/>
    </row>
    <row r="8" spans="1:5" ht="15.75">
      <c r="A8" s="253" t="s">
        <v>377</v>
      </c>
      <c r="B8" s="356" t="s">
        <v>378</v>
      </c>
      <c r="C8" s="356"/>
      <c r="D8" s="356"/>
      <c r="E8" s="356"/>
    </row>
    <row r="9" spans="1:5" ht="15.75">
      <c r="A9" s="253" t="s">
        <v>379</v>
      </c>
      <c r="B9" s="356" t="s">
        <v>380</v>
      </c>
      <c r="C9" s="356"/>
      <c r="D9" s="356"/>
      <c r="E9" s="356"/>
    </row>
    <row r="10" spans="1:5" ht="15.75">
      <c r="A10" s="253" t="s">
        <v>381</v>
      </c>
      <c r="B10" s="356">
        <v>5503068565</v>
      </c>
      <c r="C10" s="356"/>
      <c r="D10" s="356"/>
      <c r="E10" s="356"/>
    </row>
    <row r="11" spans="1:5" ht="15.75">
      <c r="A11" s="253" t="s">
        <v>382</v>
      </c>
      <c r="B11" s="356">
        <v>550301001</v>
      </c>
      <c r="C11" s="356"/>
      <c r="D11" s="356"/>
      <c r="E11" s="356"/>
    </row>
    <row r="12" spans="1:5" ht="15.75">
      <c r="A12" s="253" t="s">
        <v>383</v>
      </c>
      <c r="B12" s="356" t="s">
        <v>384</v>
      </c>
      <c r="C12" s="356"/>
      <c r="D12" s="356"/>
      <c r="E12" s="356"/>
    </row>
    <row r="13" spans="1:5" ht="15.75">
      <c r="A13" s="253" t="s">
        <v>385</v>
      </c>
      <c r="B13" s="357" t="s">
        <v>386</v>
      </c>
      <c r="C13" s="356"/>
      <c r="D13" s="356"/>
      <c r="E13" s="356"/>
    </row>
    <row r="14" spans="1:5" ht="15.75">
      <c r="A14" s="253" t="s">
        <v>387</v>
      </c>
      <c r="B14" s="356" t="s">
        <v>388</v>
      </c>
      <c r="C14" s="356"/>
      <c r="D14" s="356"/>
      <c r="E14" s="356"/>
    </row>
    <row r="15" spans="1:5" ht="15.75">
      <c r="A15" s="253" t="s">
        <v>389</v>
      </c>
      <c r="B15" s="356" t="s">
        <v>390</v>
      </c>
      <c r="C15" s="356"/>
      <c r="D15" s="356"/>
      <c r="E15" s="356"/>
    </row>
  </sheetData>
  <sheetProtection/>
  <mergeCells count="12">
    <mergeCell ref="A1:E1"/>
    <mergeCell ref="A2:E2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</mergeCells>
  <hyperlinks>
    <hyperlink ref="B13" r:id="rId1" display="etk.info@mail.ru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5"/>
  <sheetViews>
    <sheetView view="pageBreakPreview" zoomScale="75" zoomScaleSheetLayoutView="75" zoomScalePageLayoutView="0" workbookViewId="0" topLeftCell="A1">
      <selection activeCell="D14" sqref="D14"/>
    </sheetView>
  </sheetViews>
  <sheetFormatPr defaultColWidth="9.140625" defaultRowHeight="15"/>
  <cols>
    <col min="1" max="1" width="21.8515625" style="0" customWidth="1"/>
    <col min="2" max="2" width="28.8515625" style="0" customWidth="1"/>
    <col min="3" max="4" width="30.57421875" style="0" customWidth="1"/>
    <col min="5" max="5" width="29.140625" style="0" customWidth="1"/>
    <col min="6" max="6" width="16.7109375" style="0" customWidth="1"/>
    <col min="7" max="7" width="11.8515625" style="0" customWidth="1"/>
    <col min="8" max="8" width="16.00390625" style="0" customWidth="1"/>
  </cols>
  <sheetData>
    <row r="2" spans="1:8" s="129" customFormat="1" ht="12.75">
      <c r="A2" s="434" t="s">
        <v>520</v>
      </c>
      <c r="B2" s="434"/>
      <c r="C2" s="434"/>
      <c r="D2" s="434"/>
      <c r="E2" s="434"/>
      <c r="F2" s="128"/>
      <c r="G2" s="128"/>
      <c r="H2" s="128"/>
    </row>
    <row r="3" spans="1:8" s="129" customFormat="1" ht="12.75">
      <c r="A3" s="127"/>
      <c r="B3" s="127"/>
      <c r="C3" s="127"/>
      <c r="D3" s="127"/>
      <c r="E3" s="127"/>
      <c r="F3" s="127"/>
      <c r="G3" s="127"/>
      <c r="H3" s="12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130"/>
      <c r="B5" s="130"/>
      <c r="C5" s="130"/>
      <c r="D5" s="130"/>
      <c r="E5" s="130"/>
      <c r="F5" s="130"/>
      <c r="G5" s="130"/>
      <c r="H5" s="130"/>
    </row>
    <row r="6" spans="1:5" s="133" customFormat="1" ht="25.5">
      <c r="A6" s="131" t="s">
        <v>176</v>
      </c>
      <c r="B6" s="131" t="s">
        <v>177</v>
      </c>
      <c r="C6" s="132" t="s">
        <v>178</v>
      </c>
      <c r="D6" s="132" t="s">
        <v>179</v>
      </c>
      <c r="E6" s="132" t="s">
        <v>180</v>
      </c>
    </row>
    <row r="7" spans="1:6" ht="15">
      <c r="A7" s="233" t="s">
        <v>181</v>
      </c>
      <c r="B7" s="134" t="s">
        <v>182</v>
      </c>
      <c r="C7" s="135">
        <v>12.77</v>
      </c>
      <c r="D7" s="136">
        <v>2</v>
      </c>
      <c r="E7" s="435">
        <f>SUMPRODUCT((C7:C14),(D7:D14))*2/D15</f>
        <v>20.607999999999997</v>
      </c>
      <c r="F7" s="438"/>
    </row>
    <row r="8" spans="1:6" ht="15">
      <c r="A8" s="233" t="s">
        <v>183</v>
      </c>
      <c r="B8" s="134" t="s">
        <v>184</v>
      </c>
      <c r="C8" s="135">
        <v>5.15</v>
      </c>
      <c r="D8" s="136">
        <v>1</v>
      </c>
      <c r="E8" s="436"/>
      <c r="F8" s="438"/>
    </row>
    <row r="9" spans="1:6" ht="15">
      <c r="A9" s="233" t="s">
        <v>185</v>
      </c>
      <c r="B9" s="134" t="s">
        <v>186</v>
      </c>
      <c r="C9" s="135">
        <v>9.9</v>
      </c>
      <c r="D9" s="136">
        <v>1</v>
      </c>
      <c r="E9" s="436"/>
      <c r="F9" s="438"/>
    </row>
    <row r="10" spans="1:6" ht="15">
      <c r="A10" s="233" t="s">
        <v>187</v>
      </c>
      <c r="B10" s="134" t="s">
        <v>188</v>
      </c>
      <c r="C10" s="135">
        <v>12.88</v>
      </c>
      <c r="D10" s="136">
        <v>2</v>
      </c>
      <c r="E10" s="436"/>
      <c r="F10" s="438"/>
    </row>
    <row r="11" spans="1:6" ht="15">
      <c r="A11" s="233" t="s">
        <v>398</v>
      </c>
      <c r="B11" s="134" t="s">
        <v>407</v>
      </c>
      <c r="C11" s="135">
        <v>15.77</v>
      </c>
      <c r="D11" s="136">
        <v>1</v>
      </c>
      <c r="E11" s="436"/>
      <c r="F11" s="32"/>
    </row>
    <row r="12" spans="1:6" ht="15">
      <c r="A12" s="134" t="s">
        <v>189</v>
      </c>
      <c r="B12" s="134" t="s">
        <v>190</v>
      </c>
      <c r="C12" s="4">
        <v>6.94</v>
      </c>
      <c r="D12" s="136">
        <v>1</v>
      </c>
      <c r="E12" s="436"/>
      <c r="F12" s="32"/>
    </row>
    <row r="13" spans="1:6" ht="15">
      <c r="A13" s="134" t="s">
        <v>191</v>
      </c>
      <c r="B13" s="134" t="s">
        <v>192</v>
      </c>
      <c r="C13" s="4">
        <v>6.84</v>
      </c>
      <c r="D13" s="136">
        <v>1</v>
      </c>
      <c r="E13" s="436"/>
      <c r="F13" s="32"/>
    </row>
    <row r="14" spans="1:6" ht="15">
      <c r="A14" s="134" t="s">
        <v>193</v>
      </c>
      <c r="B14" s="134" t="s">
        <v>194</v>
      </c>
      <c r="C14" s="4">
        <v>7.14</v>
      </c>
      <c r="D14" s="136">
        <v>1</v>
      </c>
      <c r="E14" s="436"/>
      <c r="F14" s="32"/>
    </row>
    <row r="15" spans="1:5" ht="15">
      <c r="A15" s="137" t="s">
        <v>195</v>
      </c>
      <c r="B15" s="137"/>
      <c r="C15" s="138">
        <f>SUM(C7:C14)</f>
        <v>77.39</v>
      </c>
      <c r="D15" s="139">
        <f>SUM(D7:D14)</f>
        <v>10</v>
      </c>
      <c r="E15" s="437"/>
    </row>
    <row r="16" spans="1:2" ht="15">
      <c r="A16" s="140"/>
      <c r="B16" s="140"/>
    </row>
    <row r="17" spans="1:2" ht="15">
      <c r="A17" s="140"/>
      <c r="B17" s="140"/>
    </row>
    <row r="18" spans="1:6" ht="15">
      <c r="A18" s="129" t="s">
        <v>174</v>
      </c>
      <c r="B18" s="129"/>
      <c r="D18" s="141"/>
      <c r="E18" s="142" t="s">
        <v>175</v>
      </c>
      <c r="F18" s="129"/>
    </row>
    <row r="19" spans="1:8" s="143" customFormat="1" ht="15">
      <c r="A19"/>
      <c r="B19"/>
      <c r="C19"/>
      <c r="D19"/>
      <c r="E19"/>
      <c r="F19"/>
      <c r="G19"/>
      <c r="H19"/>
    </row>
    <row r="22" spans="1:8" s="129" customFormat="1" ht="15">
      <c r="A22"/>
      <c r="B22"/>
      <c r="C22"/>
      <c r="D22"/>
      <c r="E22"/>
      <c r="F22"/>
      <c r="G22"/>
      <c r="H22"/>
    </row>
    <row r="25" spans="1:8" s="129" customFormat="1" ht="15">
      <c r="A25"/>
      <c r="B25"/>
      <c r="C25"/>
      <c r="D25"/>
      <c r="E25"/>
      <c r="F25"/>
      <c r="G25"/>
      <c r="H25"/>
    </row>
  </sheetData>
  <sheetProtection/>
  <mergeCells count="3">
    <mergeCell ref="A2:E2"/>
    <mergeCell ref="E7:E15"/>
    <mergeCell ref="F7:F10"/>
  </mergeCells>
  <printOptions/>
  <pageMargins left="0.3937007874015748" right="0.3937007874015748" top="0.7874015748031497" bottom="0.3937007874015748" header="0.31496062992125984" footer="0.31496062992125984"/>
  <pageSetup fitToHeight="1" fitToWidth="1" horizontalDpi="1200" verticalDpi="12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2"/>
  <sheetViews>
    <sheetView zoomScalePageLayoutView="0" workbookViewId="0" topLeftCell="A1">
      <selection activeCell="D17" sqref="D17"/>
    </sheetView>
  </sheetViews>
  <sheetFormatPr defaultColWidth="9.140625" defaultRowHeight="15" outlineLevelRow="1"/>
  <cols>
    <col min="1" max="1" width="9.00390625" style="144" customWidth="1"/>
    <col min="2" max="2" width="54.00390625" style="170" customWidth="1"/>
    <col min="3" max="3" width="20.28125" style="146" customWidth="1"/>
    <col min="4" max="4" width="20.28125" style="147" customWidth="1"/>
    <col min="5" max="5" width="20.28125" style="146" customWidth="1"/>
    <col min="6" max="7" width="22.7109375" style="146" customWidth="1"/>
    <col min="8" max="8" width="13.7109375" style="146" bestFit="1" customWidth="1"/>
    <col min="9" max="16384" width="9.140625" style="146" customWidth="1"/>
  </cols>
  <sheetData>
    <row r="1" spans="2:7" ht="17.25" customHeight="1">
      <c r="B1" s="145"/>
      <c r="F1" s="439"/>
      <c r="G1" s="439"/>
    </row>
    <row r="2" spans="1:7" ht="20.25" customHeight="1">
      <c r="A2" s="440" t="s">
        <v>397</v>
      </c>
      <c r="B2" s="440"/>
      <c r="C2" s="440"/>
      <c r="D2" s="440"/>
      <c r="E2" s="440"/>
      <c r="F2" s="440"/>
      <c r="G2" s="440"/>
    </row>
    <row r="3" spans="1:7" ht="17.25" customHeight="1">
      <c r="A3" s="440"/>
      <c r="B3" s="440"/>
      <c r="C3" s="440"/>
      <c r="D3" s="440"/>
      <c r="E3" s="440"/>
      <c r="F3" s="440"/>
      <c r="G3" s="440"/>
    </row>
    <row r="4" spans="1:2" ht="12.75" customHeight="1" hidden="1">
      <c r="A4" s="148"/>
      <c r="B4" s="148"/>
    </row>
    <row r="5" spans="1:7" ht="78.75">
      <c r="A5" s="149" t="s">
        <v>197</v>
      </c>
      <c r="B5" s="150" t="s">
        <v>1</v>
      </c>
      <c r="C5" s="151" t="s">
        <v>198</v>
      </c>
      <c r="D5" s="152" t="s">
        <v>199</v>
      </c>
      <c r="E5" s="151" t="s">
        <v>200</v>
      </c>
      <c r="F5" s="153" t="s">
        <v>201</v>
      </c>
      <c r="G5" s="153" t="s">
        <v>202</v>
      </c>
    </row>
    <row r="6" spans="1:7" ht="14.25" customHeight="1">
      <c r="A6" s="149" t="s">
        <v>203</v>
      </c>
      <c r="B6" s="150">
        <v>2</v>
      </c>
      <c r="C6" s="152">
        <v>3</v>
      </c>
      <c r="D6" s="152">
        <v>4</v>
      </c>
      <c r="E6" s="152">
        <v>5</v>
      </c>
      <c r="F6" s="152">
        <v>6</v>
      </c>
      <c r="G6" s="154">
        <v>7</v>
      </c>
    </row>
    <row r="7" spans="1:7" ht="45.75" customHeight="1">
      <c r="A7" s="155" t="s">
        <v>86</v>
      </c>
      <c r="B7" s="156" t="s">
        <v>87</v>
      </c>
      <c r="C7" s="157">
        <f>SUM(C8:C16)</f>
        <v>31311.654498869273</v>
      </c>
      <c r="D7" s="158"/>
      <c r="E7" s="157">
        <f>SUM(E8:E16)</f>
        <v>125246.61799547709</v>
      </c>
      <c r="F7" s="159">
        <f>SUM('техприсоединения 2022'!E$61:E$64)</f>
        <v>3160</v>
      </c>
      <c r="G7" s="160">
        <f>E7/F7</f>
        <v>39.63500569477123</v>
      </c>
    </row>
    <row r="8" spans="1:7" ht="31.5">
      <c r="A8" s="149" t="s">
        <v>88</v>
      </c>
      <c r="B8" s="161" t="s">
        <v>204</v>
      </c>
      <c r="C8" s="162">
        <f>'расходы (2020) '!V13</f>
        <v>1488.6441503087976</v>
      </c>
      <c r="D8" s="158">
        <v>4</v>
      </c>
      <c r="E8" s="157">
        <f aca="true" t="shared" si="0" ref="E8:E38">C8*D8</f>
        <v>5954.5766012351905</v>
      </c>
      <c r="F8" s="159">
        <f>SUM('техприсоединения 2022'!E$61:E$64)</f>
        <v>3160</v>
      </c>
      <c r="G8" s="160">
        <f aca="true" t="shared" si="1" ref="G8:G38">E8/F8</f>
        <v>1.8843596839351868</v>
      </c>
    </row>
    <row r="9" spans="1:7" ht="81" customHeight="1">
      <c r="A9" s="149" t="s">
        <v>97</v>
      </c>
      <c r="B9" s="161" t="s">
        <v>98</v>
      </c>
      <c r="C9" s="162">
        <f>'расходы (2020) '!V19</f>
        <v>168.86524907102523</v>
      </c>
      <c r="D9" s="158">
        <v>4</v>
      </c>
      <c r="E9" s="157">
        <f t="shared" si="0"/>
        <v>675.4609962841009</v>
      </c>
      <c r="F9" s="159">
        <f>SUM('техприсоединения 2022'!E$61:E$64)</f>
        <v>3160</v>
      </c>
      <c r="G9" s="160">
        <f t="shared" si="1"/>
        <v>0.2137534798367408</v>
      </c>
    </row>
    <row r="10" spans="1:7" ht="94.5">
      <c r="A10" s="149" t="s">
        <v>100</v>
      </c>
      <c r="B10" s="161" t="s">
        <v>205</v>
      </c>
      <c r="C10" s="162">
        <f>'расходы (2020) '!V29</f>
        <v>4196.658969818279</v>
      </c>
      <c r="D10" s="158">
        <v>4</v>
      </c>
      <c r="E10" s="157">
        <f t="shared" si="0"/>
        <v>16786.635879273115</v>
      </c>
      <c r="F10" s="159">
        <f>SUM('техприсоединения 2022'!E$61:E$64)</f>
        <v>3160</v>
      </c>
      <c r="G10" s="160">
        <f t="shared" si="1"/>
        <v>5.312226544073771</v>
      </c>
    </row>
    <row r="11" spans="1:7" ht="33" customHeight="1">
      <c r="A11" s="149" t="s">
        <v>108</v>
      </c>
      <c r="B11" s="161" t="s">
        <v>206</v>
      </c>
      <c r="C11" s="162">
        <f>'расходы (2020) '!V35</f>
        <v>1341.4752802417925</v>
      </c>
      <c r="D11" s="158">
        <v>4</v>
      </c>
      <c r="E11" s="157">
        <f t="shared" si="0"/>
        <v>5365.90112096717</v>
      </c>
      <c r="F11" s="159">
        <f>SUM('техприсоединения 2022'!E$61:E$64)</f>
        <v>3160</v>
      </c>
      <c r="G11" s="160">
        <f t="shared" si="1"/>
        <v>1.6980699749896107</v>
      </c>
    </row>
    <row r="12" spans="1:7" ht="34.5" customHeight="1">
      <c r="A12" s="149" t="s">
        <v>110</v>
      </c>
      <c r="B12" s="161" t="s">
        <v>111</v>
      </c>
      <c r="C12" s="162">
        <f>'расходы (2020) '!V44</f>
        <v>3765.406764091232</v>
      </c>
      <c r="D12" s="158">
        <v>4</v>
      </c>
      <c r="E12" s="157">
        <f t="shared" si="0"/>
        <v>15061.627056364929</v>
      </c>
      <c r="F12" s="159">
        <f>SUM('техприсоединения 2022'!E$61:E$64)</f>
        <v>3160</v>
      </c>
      <c r="G12" s="160">
        <f t="shared" si="1"/>
        <v>4.766337676064851</v>
      </c>
    </row>
    <row r="13" spans="1:7" ht="34.5" customHeight="1">
      <c r="A13" s="149" t="s">
        <v>37</v>
      </c>
      <c r="B13" s="161" t="s">
        <v>114</v>
      </c>
      <c r="C13" s="162">
        <f>'расходы (2020) '!V51</f>
        <v>4171.594710792383</v>
      </c>
      <c r="D13" s="158">
        <v>4</v>
      </c>
      <c r="E13" s="157">
        <f t="shared" si="0"/>
        <v>16686.378843169532</v>
      </c>
      <c r="F13" s="159">
        <f>SUM('техприсоединения 2022'!E$61:E$64)</f>
        <v>3160</v>
      </c>
      <c r="G13" s="160">
        <f t="shared" si="1"/>
        <v>5.280499633914409</v>
      </c>
    </row>
    <row r="14" spans="1:7" ht="34.5" customHeight="1">
      <c r="A14" s="149" t="s">
        <v>207</v>
      </c>
      <c r="B14" s="161" t="s">
        <v>208</v>
      </c>
      <c r="C14" s="162">
        <f>'расходы (2020) '!V61</f>
        <v>5475.561057512617</v>
      </c>
      <c r="D14" s="158">
        <v>4</v>
      </c>
      <c r="E14" s="157">
        <f>C14*D14</f>
        <v>21902.244230050466</v>
      </c>
      <c r="F14" s="159">
        <f>SUM('техприсоединения 2022'!E$61:E$64)</f>
        <v>3160</v>
      </c>
      <c r="G14" s="160">
        <f t="shared" si="1"/>
        <v>6.931089946218502</v>
      </c>
    </row>
    <row r="15" spans="1:7" ht="54.75" customHeight="1">
      <c r="A15" s="149" t="s">
        <v>209</v>
      </c>
      <c r="B15" s="161" t="s">
        <v>210</v>
      </c>
      <c r="C15" s="162">
        <f>'расходы (2020) '!V71</f>
        <v>8043.050986569228</v>
      </c>
      <c r="D15" s="158">
        <v>4</v>
      </c>
      <c r="E15" s="157">
        <f t="shared" si="0"/>
        <v>32172.203946276913</v>
      </c>
      <c r="F15" s="159">
        <f>SUM('техприсоединения 2022'!E$61:E$64)</f>
        <v>3160</v>
      </c>
      <c r="G15" s="160">
        <f>E15/F15</f>
        <v>10.181077198188897</v>
      </c>
    </row>
    <row r="16" spans="1:7" ht="54.75" customHeight="1">
      <c r="A16" s="149" t="s">
        <v>211</v>
      </c>
      <c r="B16" s="161" t="s">
        <v>212</v>
      </c>
      <c r="C16" s="162">
        <f>'расходы (2020) '!V76</f>
        <v>2660.3973304639185</v>
      </c>
      <c r="D16" s="158">
        <v>4</v>
      </c>
      <c r="E16" s="157">
        <f t="shared" si="0"/>
        <v>10641.589321855674</v>
      </c>
      <c r="F16" s="159">
        <f>SUM('техприсоединения 2022'!E$61:E$64)</f>
        <v>3160</v>
      </c>
      <c r="G16" s="160">
        <f t="shared" si="1"/>
        <v>3.367591557549264</v>
      </c>
    </row>
    <row r="17" spans="1:7" ht="47.25">
      <c r="A17" s="155" t="s">
        <v>213</v>
      </c>
      <c r="B17" s="156" t="s">
        <v>129</v>
      </c>
      <c r="C17" s="157" t="s">
        <v>214</v>
      </c>
      <c r="D17" s="158" t="s">
        <v>214</v>
      </c>
      <c r="E17" s="157" t="s">
        <v>214</v>
      </c>
      <c r="F17" s="159" t="s">
        <v>214</v>
      </c>
      <c r="G17" s="160" t="s">
        <v>214</v>
      </c>
    </row>
    <row r="18" spans="1:7" ht="48.75" customHeight="1" hidden="1">
      <c r="A18" s="149" t="s">
        <v>215</v>
      </c>
      <c r="B18" s="161" t="s">
        <v>216</v>
      </c>
      <c r="C18" s="162">
        <v>0</v>
      </c>
      <c r="D18" s="158">
        <v>1</v>
      </c>
      <c r="E18" s="157">
        <f t="shared" si="0"/>
        <v>0</v>
      </c>
      <c r="F18" s="159">
        <v>1</v>
      </c>
      <c r="G18" s="160">
        <f t="shared" si="1"/>
        <v>0</v>
      </c>
    </row>
    <row r="19" spans="1:7" ht="47.25" hidden="1">
      <c r="A19" s="149" t="s">
        <v>217</v>
      </c>
      <c r="B19" s="161" t="s">
        <v>218</v>
      </c>
      <c r="C19" s="162"/>
      <c r="D19" s="158">
        <v>1</v>
      </c>
      <c r="E19" s="157">
        <f t="shared" si="0"/>
        <v>0</v>
      </c>
      <c r="F19" s="159">
        <v>1</v>
      </c>
      <c r="G19" s="160">
        <f t="shared" si="1"/>
        <v>0</v>
      </c>
    </row>
    <row r="20" spans="1:7" ht="15.75" hidden="1" outlineLevel="1">
      <c r="A20" s="149" t="s">
        <v>219</v>
      </c>
      <c r="B20" s="161"/>
      <c r="C20" s="162"/>
      <c r="D20" s="158">
        <v>1</v>
      </c>
      <c r="E20" s="157">
        <f t="shared" si="0"/>
        <v>0</v>
      </c>
      <c r="F20" s="159">
        <v>1</v>
      </c>
      <c r="G20" s="160">
        <f t="shared" si="1"/>
        <v>0</v>
      </c>
    </row>
    <row r="21" spans="1:7" ht="78.75" hidden="1" outlineLevel="1">
      <c r="A21" s="149" t="s">
        <v>220</v>
      </c>
      <c r="B21" s="161" t="s">
        <v>221</v>
      </c>
      <c r="C21" s="162"/>
      <c r="D21" s="158">
        <v>1</v>
      </c>
      <c r="E21" s="157">
        <f t="shared" si="0"/>
        <v>0</v>
      </c>
      <c r="F21" s="159">
        <v>1</v>
      </c>
      <c r="G21" s="160">
        <f t="shared" si="1"/>
        <v>0</v>
      </c>
    </row>
    <row r="22" spans="1:7" ht="31.5" hidden="1" outlineLevel="1">
      <c r="A22" s="149" t="s">
        <v>222</v>
      </c>
      <c r="B22" s="161" t="s">
        <v>223</v>
      </c>
      <c r="C22" s="162"/>
      <c r="D22" s="158">
        <v>1</v>
      </c>
      <c r="E22" s="157">
        <f t="shared" si="0"/>
        <v>0</v>
      </c>
      <c r="F22" s="159">
        <v>1</v>
      </c>
      <c r="G22" s="160">
        <f t="shared" si="1"/>
        <v>0</v>
      </c>
    </row>
    <row r="23" spans="1:7" ht="31.5" hidden="1" collapsed="1">
      <c r="A23" s="149" t="s">
        <v>220</v>
      </c>
      <c r="B23" s="161" t="s">
        <v>224</v>
      </c>
      <c r="C23" s="162">
        <v>0</v>
      </c>
      <c r="D23" s="158">
        <v>1</v>
      </c>
      <c r="E23" s="157">
        <f t="shared" si="0"/>
        <v>0</v>
      </c>
      <c r="F23" s="159">
        <v>1</v>
      </c>
      <c r="G23" s="160">
        <f t="shared" si="1"/>
        <v>0</v>
      </c>
    </row>
    <row r="24" spans="1:7" ht="15.75" hidden="1">
      <c r="A24" s="149" t="s">
        <v>225</v>
      </c>
      <c r="B24" s="161" t="s">
        <v>226</v>
      </c>
      <c r="C24" s="162">
        <v>0</v>
      </c>
      <c r="D24" s="158">
        <v>1</v>
      </c>
      <c r="E24" s="157">
        <f t="shared" si="0"/>
        <v>0</v>
      </c>
      <c r="F24" s="159">
        <v>1</v>
      </c>
      <c r="G24" s="160">
        <f t="shared" si="1"/>
        <v>0</v>
      </c>
    </row>
    <row r="25" spans="1:7" ht="31.5" collapsed="1">
      <c r="A25" s="155" t="s">
        <v>227</v>
      </c>
      <c r="B25" s="156" t="s">
        <v>228</v>
      </c>
      <c r="C25" s="157" t="s">
        <v>214</v>
      </c>
      <c r="D25" s="158" t="s">
        <v>214</v>
      </c>
      <c r="E25" s="157" t="s">
        <v>214</v>
      </c>
      <c r="F25" s="157" t="s">
        <v>214</v>
      </c>
      <c r="G25" s="160" t="s">
        <v>214</v>
      </c>
    </row>
    <row r="26" spans="1:7" ht="15.75">
      <c r="A26" s="149" t="s">
        <v>229</v>
      </c>
      <c r="B26" s="161" t="s">
        <v>230</v>
      </c>
      <c r="C26" s="162" t="s">
        <v>214</v>
      </c>
      <c r="D26" s="158" t="s">
        <v>214</v>
      </c>
      <c r="E26" s="159"/>
      <c r="F26" s="159"/>
      <c r="G26" s="160"/>
    </row>
    <row r="27" spans="1:7" ht="15.75">
      <c r="A27" s="149" t="s">
        <v>231</v>
      </c>
      <c r="B27" s="161" t="s">
        <v>232</v>
      </c>
      <c r="C27" s="162" t="s">
        <v>214</v>
      </c>
      <c r="D27" s="158" t="s">
        <v>214</v>
      </c>
      <c r="E27" s="159"/>
      <c r="F27" s="159"/>
      <c r="G27" s="160"/>
    </row>
    <row r="28" spans="1:7" ht="15.75">
      <c r="A28" s="149" t="s">
        <v>233</v>
      </c>
      <c r="B28" s="161" t="s">
        <v>234</v>
      </c>
      <c r="C28" s="162" t="s">
        <v>214</v>
      </c>
      <c r="D28" s="158" t="s">
        <v>214</v>
      </c>
      <c r="E28" s="159"/>
      <c r="F28" s="159"/>
      <c r="G28" s="160"/>
    </row>
    <row r="29" spans="1:7" ht="63">
      <c r="A29" s="149" t="s">
        <v>235</v>
      </c>
      <c r="B29" s="161" t="s">
        <v>236</v>
      </c>
      <c r="C29" s="162" t="s">
        <v>214</v>
      </c>
      <c r="D29" s="158" t="s">
        <v>214</v>
      </c>
      <c r="E29" s="159"/>
      <c r="F29" s="159"/>
      <c r="G29" s="160"/>
    </row>
    <row r="30" spans="1:7" ht="31.5">
      <c r="A30" s="149" t="s">
        <v>237</v>
      </c>
      <c r="B30" s="161" t="s">
        <v>238</v>
      </c>
      <c r="C30" s="162" t="s">
        <v>214</v>
      </c>
      <c r="D30" s="158" t="s">
        <v>214</v>
      </c>
      <c r="E30" s="159"/>
      <c r="F30" s="159"/>
      <c r="G30" s="160"/>
    </row>
    <row r="31" spans="1:7" ht="45" customHeight="1">
      <c r="A31" s="155" t="s">
        <v>239</v>
      </c>
      <c r="B31" s="156" t="s">
        <v>240</v>
      </c>
      <c r="C31" s="157">
        <f>SUM(C32:C33)</f>
        <v>12080.134608216626</v>
      </c>
      <c r="D31" s="158"/>
      <c r="E31" s="157">
        <f>SUM(E32:E33)</f>
        <v>48320.5384328665</v>
      </c>
      <c r="F31" s="159">
        <f>SUM('техприсоединения 2022'!E$61:E$64)</f>
        <v>3160</v>
      </c>
      <c r="G31" s="160">
        <f t="shared" si="1"/>
        <v>15.291309630653956</v>
      </c>
    </row>
    <row r="32" spans="1:7" ht="37.5" customHeight="1">
      <c r="A32" s="149" t="s">
        <v>132</v>
      </c>
      <c r="B32" s="161" t="s">
        <v>133</v>
      </c>
      <c r="C32" s="162">
        <f>'расходы (2020) '!V91</f>
        <v>3373.504514114822</v>
      </c>
      <c r="D32" s="158">
        <v>4</v>
      </c>
      <c r="E32" s="157">
        <f t="shared" si="0"/>
        <v>13494.018056459288</v>
      </c>
      <c r="F32" s="159">
        <f>SUM('техприсоединения 2022'!E$61:E$64)</f>
        <v>3160</v>
      </c>
      <c r="G32" s="160">
        <f t="shared" si="1"/>
        <v>4.270258878626357</v>
      </c>
    </row>
    <row r="33" spans="1:7" ht="47.25">
      <c r="A33" s="149" t="s">
        <v>134</v>
      </c>
      <c r="B33" s="161" t="s">
        <v>135</v>
      </c>
      <c r="C33" s="162">
        <f>'расходы (2020) '!V107</f>
        <v>8706.630094101803</v>
      </c>
      <c r="D33" s="158">
        <v>4</v>
      </c>
      <c r="E33" s="157">
        <f t="shared" si="0"/>
        <v>34826.520376407214</v>
      </c>
      <c r="F33" s="159">
        <f>SUM('техприсоединения 2022'!E$61:E$64)</f>
        <v>3160</v>
      </c>
      <c r="G33" s="160">
        <f t="shared" si="1"/>
        <v>11.0210507520276</v>
      </c>
    </row>
    <row r="34" spans="1:7" ht="72" customHeight="1">
      <c r="A34" s="155" t="s">
        <v>241</v>
      </c>
      <c r="B34" s="156" t="s">
        <v>147</v>
      </c>
      <c r="C34" s="157">
        <f>SUM(C35:C35)</f>
        <v>4803.723613518342</v>
      </c>
      <c r="D34" s="158">
        <v>4</v>
      </c>
      <c r="E34" s="157">
        <f>SUM(E35:E35)</f>
        <v>19214.89445407337</v>
      </c>
      <c r="F34" s="159">
        <f>SUM('техприсоединения 2022'!E$61:E$64)</f>
        <v>3160</v>
      </c>
      <c r="G34" s="160">
        <f t="shared" si="1"/>
        <v>6.080662801921952</v>
      </c>
    </row>
    <row r="35" spans="1:7" ht="73.5" customHeight="1">
      <c r="A35" s="149" t="s">
        <v>148</v>
      </c>
      <c r="B35" s="161" t="s">
        <v>242</v>
      </c>
      <c r="C35" s="162">
        <f>'расходы (2020) '!V126</f>
        <v>4803.723613518342</v>
      </c>
      <c r="D35" s="158">
        <v>4</v>
      </c>
      <c r="E35" s="157">
        <f t="shared" si="0"/>
        <v>19214.89445407337</v>
      </c>
      <c r="F35" s="159">
        <f>SUM('техприсоединения 2022'!E$61:E$64)</f>
        <v>3160</v>
      </c>
      <c r="G35" s="160">
        <f t="shared" si="1"/>
        <v>6.080662801921952</v>
      </c>
    </row>
    <row r="36" spans="1:7" ht="47.25">
      <c r="A36" s="155" t="s">
        <v>152</v>
      </c>
      <c r="B36" s="156" t="s">
        <v>243</v>
      </c>
      <c r="C36" s="157">
        <f>SUM(C37:C38)</f>
        <v>5942.681928503872</v>
      </c>
      <c r="D36" s="158">
        <v>4</v>
      </c>
      <c r="E36" s="157">
        <f t="shared" si="0"/>
        <v>23770.727714015487</v>
      </c>
      <c r="F36" s="159">
        <f>SUM('техприсоединения 2022'!E$61:E$64)</f>
        <v>3160</v>
      </c>
      <c r="G36" s="160">
        <f t="shared" si="1"/>
        <v>7.522382187979584</v>
      </c>
    </row>
    <row r="37" spans="1:7" ht="111" customHeight="1">
      <c r="A37" s="149" t="s">
        <v>154</v>
      </c>
      <c r="B37" s="161" t="s">
        <v>244</v>
      </c>
      <c r="C37" s="162">
        <f>'расходы (2020) '!V137</f>
        <v>4819.72676381817</v>
      </c>
      <c r="D37" s="158">
        <v>4</v>
      </c>
      <c r="E37" s="157">
        <f t="shared" si="0"/>
        <v>19278.90705527268</v>
      </c>
      <c r="F37" s="159">
        <f>SUM('техприсоединения 2022'!E$61:E$64)</f>
        <v>3160</v>
      </c>
      <c r="G37" s="160">
        <f>E37/F37</f>
        <v>6.100919954200215</v>
      </c>
    </row>
    <row r="38" spans="1:19" ht="61.5" customHeight="1">
      <c r="A38" s="149" t="s">
        <v>159</v>
      </c>
      <c r="B38" s="161" t="s">
        <v>160</v>
      </c>
      <c r="C38" s="162">
        <f>'расходы (2020) '!V143</f>
        <v>1122.9551646857017</v>
      </c>
      <c r="D38" s="158">
        <v>4</v>
      </c>
      <c r="E38" s="157">
        <f t="shared" si="0"/>
        <v>4491.820658742807</v>
      </c>
      <c r="F38" s="159">
        <f>SUM('техприсоединения 2022'!E$61:E$64)</f>
        <v>3160</v>
      </c>
      <c r="G38" s="160">
        <f t="shared" si="1"/>
        <v>1.4214622337793692</v>
      </c>
      <c r="K38" s="163"/>
      <c r="L38" s="164"/>
      <c r="M38" s="164"/>
      <c r="N38" s="165"/>
      <c r="O38" s="166"/>
      <c r="P38" s="166"/>
      <c r="Q38" s="165"/>
      <c r="R38" s="166"/>
      <c r="S38" s="166"/>
    </row>
    <row r="39" spans="1:19" ht="31.5">
      <c r="A39" s="149"/>
      <c r="B39" s="156" t="s">
        <v>245</v>
      </c>
      <c r="C39" s="157">
        <f>C7+C31+C34+C36</f>
        <v>54138.19464910811</v>
      </c>
      <c r="D39" s="158"/>
      <c r="E39" s="157">
        <f>E7+E31+E34+E36</f>
        <v>216552.77859643244</v>
      </c>
      <c r="F39" s="159"/>
      <c r="G39" s="157">
        <f>G7+G31+G34+G36</f>
        <v>68.52936031532673</v>
      </c>
      <c r="K39" s="163"/>
      <c r="L39" s="167"/>
      <c r="M39" s="168"/>
      <c r="N39" s="165"/>
      <c r="O39" s="166"/>
      <c r="P39" s="169"/>
      <c r="Q39" s="165"/>
      <c r="R39" s="166"/>
      <c r="S39" s="169"/>
    </row>
    <row r="40" spans="6:19" ht="15.75">
      <c r="F40" s="171"/>
      <c r="K40" s="172"/>
      <c r="L40" s="172"/>
      <c r="M40" s="172"/>
      <c r="N40" s="172"/>
      <c r="O40" s="172"/>
      <c r="P40" s="172"/>
      <c r="Q40" s="172"/>
      <c r="R40" s="172"/>
      <c r="S40" s="172"/>
    </row>
    <row r="41" spans="1:19" s="176" customFormat="1" ht="15.75">
      <c r="A41" s="441" t="s">
        <v>196</v>
      </c>
      <c r="B41" s="441"/>
      <c r="C41" s="173"/>
      <c r="D41" s="174"/>
      <c r="E41" s="173"/>
      <c r="F41" s="173"/>
      <c r="G41" s="175" t="s">
        <v>175</v>
      </c>
      <c r="K41" s="177"/>
      <c r="L41" s="177"/>
      <c r="M41" s="177"/>
      <c r="N41" s="177"/>
      <c r="O41" s="177"/>
      <c r="P41" s="177"/>
      <c r="Q41" s="177"/>
      <c r="R41" s="177"/>
      <c r="S41" s="177"/>
    </row>
    <row r="42" spans="3:19" ht="15.75">
      <c r="C42" s="171"/>
      <c r="E42" s="171"/>
      <c r="F42" s="171"/>
      <c r="K42" s="172"/>
      <c r="L42" s="172"/>
      <c r="M42" s="172"/>
      <c r="N42" s="172"/>
      <c r="O42" s="172"/>
      <c r="P42" s="172"/>
      <c r="Q42" s="172"/>
      <c r="R42" s="172"/>
      <c r="S42" s="172"/>
    </row>
    <row r="43" spans="1:19" ht="15.75">
      <c r="A43" s="146"/>
      <c r="B43" s="146"/>
      <c r="K43" s="172"/>
      <c r="L43" s="172"/>
      <c r="M43" s="172"/>
      <c r="N43" s="172"/>
      <c r="O43" s="172"/>
      <c r="P43" s="172"/>
      <c r="Q43" s="172"/>
      <c r="R43" s="172"/>
      <c r="S43" s="172"/>
    </row>
    <row r="44" spans="1:19" ht="15.75">
      <c r="A44" s="146"/>
      <c r="B44" s="146"/>
      <c r="C44" s="171"/>
      <c r="E44" s="171"/>
      <c r="K44" s="172"/>
      <c r="L44" s="172"/>
      <c r="M44" s="172"/>
      <c r="N44" s="172"/>
      <c r="O44" s="172"/>
      <c r="P44" s="172"/>
      <c r="Q44" s="172"/>
      <c r="R44" s="172"/>
      <c r="S44" s="172"/>
    </row>
    <row r="45" spans="1:19" ht="15.75">
      <c r="A45" s="146"/>
      <c r="B45" s="146"/>
      <c r="K45" s="172"/>
      <c r="L45" s="172"/>
      <c r="M45" s="172"/>
      <c r="N45" s="172"/>
      <c r="O45" s="172"/>
      <c r="P45" s="172"/>
      <c r="Q45" s="172"/>
      <c r="R45" s="172"/>
      <c r="S45" s="172"/>
    </row>
    <row r="46" spans="1:19" ht="15.75">
      <c r="A46" s="146"/>
      <c r="B46" s="146"/>
      <c r="K46" s="172"/>
      <c r="L46" s="172"/>
      <c r="M46" s="172"/>
      <c r="N46" s="172"/>
      <c r="O46" s="172"/>
      <c r="P46" s="172"/>
      <c r="Q46" s="172"/>
      <c r="R46" s="172"/>
      <c r="S46" s="172"/>
    </row>
    <row r="47" spans="1:19" ht="15.75">
      <c r="A47" s="146"/>
      <c r="B47" s="146"/>
      <c r="K47" s="172"/>
      <c r="L47" s="172"/>
      <c r="M47" s="172"/>
      <c r="N47" s="172"/>
      <c r="O47" s="172"/>
      <c r="P47" s="172"/>
      <c r="Q47" s="172"/>
      <c r="R47" s="172"/>
      <c r="S47" s="172"/>
    </row>
    <row r="48" spans="1:19" ht="15.75">
      <c r="A48" s="146"/>
      <c r="B48" s="146"/>
      <c r="C48" s="171"/>
      <c r="E48" s="171"/>
      <c r="K48" s="172"/>
      <c r="L48" s="172"/>
      <c r="M48" s="172"/>
      <c r="N48" s="172"/>
      <c r="O48" s="172"/>
      <c r="P48" s="172"/>
      <c r="Q48" s="172"/>
      <c r="R48" s="172"/>
      <c r="S48" s="172"/>
    </row>
    <row r="49" spans="1:19" ht="15.75">
      <c r="A49" s="146"/>
      <c r="B49" s="146"/>
      <c r="F49" s="171"/>
      <c r="K49" s="172"/>
      <c r="L49" s="172"/>
      <c r="M49" s="172"/>
      <c r="N49" s="172"/>
      <c r="O49" s="172"/>
      <c r="P49" s="172"/>
      <c r="Q49" s="172"/>
      <c r="R49" s="172"/>
      <c r="S49" s="172"/>
    </row>
    <row r="50" spans="1:19" ht="15.75">
      <c r="A50" s="146"/>
      <c r="B50" s="146"/>
      <c r="K50" s="172"/>
      <c r="L50" s="172"/>
      <c r="M50" s="172"/>
      <c r="N50" s="172"/>
      <c r="O50" s="172"/>
      <c r="P50" s="172"/>
      <c r="Q50" s="172"/>
      <c r="R50" s="172"/>
      <c r="S50" s="172"/>
    </row>
    <row r="51" spans="1:19" ht="15.75">
      <c r="A51" s="146"/>
      <c r="B51" s="146"/>
      <c r="K51" s="172"/>
      <c r="L51" s="172"/>
      <c r="M51" s="172"/>
      <c r="N51" s="172"/>
      <c r="O51" s="172"/>
      <c r="P51" s="172"/>
      <c r="Q51" s="172"/>
      <c r="R51" s="172"/>
      <c r="S51" s="172"/>
    </row>
    <row r="52" spans="1:19" ht="15.75">
      <c r="A52" s="146"/>
      <c r="B52" s="146"/>
      <c r="K52" s="172"/>
      <c r="L52" s="172"/>
      <c r="M52" s="172"/>
      <c r="N52" s="172"/>
      <c r="O52" s="172"/>
      <c r="P52" s="172"/>
      <c r="Q52" s="172"/>
      <c r="R52" s="172"/>
      <c r="S52" s="172"/>
    </row>
    <row r="53" spans="1:19" ht="15.75">
      <c r="A53" s="146"/>
      <c r="B53" s="146"/>
      <c r="K53" s="172"/>
      <c r="L53" s="172"/>
      <c r="M53" s="172"/>
      <c r="N53" s="172"/>
      <c r="O53" s="172"/>
      <c r="P53" s="172"/>
      <c r="Q53" s="172"/>
      <c r="R53" s="172"/>
      <c r="S53" s="172"/>
    </row>
    <row r="54" spans="1:19" ht="15.75">
      <c r="A54" s="146"/>
      <c r="B54" s="146"/>
      <c r="K54" s="172"/>
      <c r="L54" s="172"/>
      <c r="M54" s="172"/>
      <c r="N54" s="172"/>
      <c r="O54" s="172"/>
      <c r="P54" s="172"/>
      <c r="Q54" s="172"/>
      <c r="R54" s="172"/>
      <c r="S54" s="172"/>
    </row>
    <row r="55" spans="1:19" ht="15.75">
      <c r="A55" s="146"/>
      <c r="B55" s="146"/>
      <c r="K55" s="172"/>
      <c r="L55" s="172"/>
      <c r="M55" s="172"/>
      <c r="N55" s="172"/>
      <c r="O55" s="172"/>
      <c r="P55" s="172"/>
      <c r="Q55" s="172"/>
      <c r="R55" s="172"/>
      <c r="S55" s="172"/>
    </row>
    <row r="56" spans="1:19" ht="15.75">
      <c r="A56" s="146"/>
      <c r="B56" s="146"/>
      <c r="K56" s="172"/>
      <c r="L56" s="172"/>
      <c r="M56" s="172"/>
      <c r="N56" s="172"/>
      <c r="O56" s="172"/>
      <c r="P56" s="172"/>
      <c r="Q56" s="172"/>
      <c r="R56" s="172"/>
      <c r="S56" s="172"/>
    </row>
    <row r="57" spans="1:19" ht="15.75">
      <c r="A57" s="146"/>
      <c r="B57" s="146"/>
      <c r="K57" s="172"/>
      <c r="L57" s="172"/>
      <c r="M57" s="172"/>
      <c r="N57" s="172"/>
      <c r="O57" s="172"/>
      <c r="P57" s="172"/>
      <c r="Q57" s="172"/>
      <c r="R57" s="172"/>
      <c r="S57" s="172"/>
    </row>
    <row r="58" spans="1:19" ht="15.75">
      <c r="A58" s="146"/>
      <c r="B58" s="146"/>
      <c r="K58" s="172"/>
      <c r="L58" s="172"/>
      <c r="M58" s="172"/>
      <c r="N58" s="172"/>
      <c r="O58" s="172"/>
      <c r="P58" s="172"/>
      <c r="Q58" s="172"/>
      <c r="R58" s="172"/>
      <c r="S58" s="172"/>
    </row>
    <row r="59" spans="1:19" ht="15.75">
      <c r="A59" s="146"/>
      <c r="B59" s="146"/>
      <c r="K59" s="172"/>
      <c r="L59" s="172"/>
      <c r="M59" s="172"/>
      <c r="N59" s="172"/>
      <c r="O59" s="172"/>
      <c r="P59" s="172"/>
      <c r="Q59" s="172"/>
      <c r="R59" s="172"/>
      <c r="S59" s="172"/>
    </row>
    <row r="60" spans="1:19" ht="15.75">
      <c r="A60" s="146"/>
      <c r="B60" s="146"/>
      <c r="K60" s="172"/>
      <c r="L60" s="172"/>
      <c r="M60" s="172"/>
      <c r="N60" s="172"/>
      <c r="O60" s="172"/>
      <c r="P60" s="172"/>
      <c r="Q60" s="172"/>
      <c r="R60" s="172"/>
      <c r="S60" s="172"/>
    </row>
    <row r="61" spans="1:19" ht="15.75">
      <c r="A61" s="146"/>
      <c r="B61" s="146"/>
      <c r="K61" s="172"/>
      <c r="L61" s="172"/>
      <c r="M61" s="172"/>
      <c r="N61" s="172"/>
      <c r="O61" s="172"/>
      <c r="P61" s="172"/>
      <c r="Q61" s="172"/>
      <c r="R61" s="172"/>
      <c r="S61" s="172"/>
    </row>
    <row r="62" spans="1:19" ht="15.75">
      <c r="A62" s="146"/>
      <c r="B62" s="146"/>
      <c r="K62" s="172"/>
      <c r="L62" s="172"/>
      <c r="M62" s="172"/>
      <c r="N62" s="172"/>
      <c r="O62" s="172"/>
      <c r="P62" s="172"/>
      <c r="Q62" s="172"/>
      <c r="R62" s="172"/>
      <c r="S62" s="172"/>
    </row>
    <row r="63" spans="1:19" ht="15.75">
      <c r="A63" s="146"/>
      <c r="B63" s="146"/>
      <c r="K63" s="172"/>
      <c r="L63" s="172"/>
      <c r="M63" s="172"/>
      <c r="N63" s="172"/>
      <c r="O63" s="172"/>
      <c r="P63" s="172"/>
      <c r="Q63" s="172"/>
      <c r="R63" s="172"/>
      <c r="S63" s="172"/>
    </row>
    <row r="64" spans="1:19" ht="15.75">
      <c r="A64" s="146"/>
      <c r="B64" s="146"/>
      <c r="K64" s="172"/>
      <c r="L64" s="172"/>
      <c r="M64" s="172"/>
      <c r="N64" s="172"/>
      <c r="O64" s="172"/>
      <c r="P64" s="172"/>
      <c r="Q64" s="172"/>
      <c r="R64" s="172"/>
      <c r="S64" s="172"/>
    </row>
    <row r="65" spans="1:19" ht="15.75">
      <c r="A65" s="146"/>
      <c r="B65" s="146"/>
      <c r="K65" s="172"/>
      <c r="L65" s="172"/>
      <c r="M65" s="172"/>
      <c r="N65" s="172"/>
      <c r="O65" s="172"/>
      <c r="P65" s="172"/>
      <c r="Q65" s="172"/>
      <c r="R65" s="172"/>
      <c r="S65" s="172"/>
    </row>
    <row r="66" spans="1:19" ht="15.75">
      <c r="A66" s="146"/>
      <c r="B66" s="146"/>
      <c r="K66" s="172"/>
      <c r="L66" s="172"/>
      <c r="M66" s="172"/>
      <c r="N66" s="172"/>
      <c r="O66" s="172"/>
      <c r="P66" s="172"/>
      <c r="Q66" s="172"/>
      <c r="R66" s="172"/>
      <c r="S66" s="172"/>
    </row>
    <row r="67" spans="1:19" ht="15.75">
      <c r="A67" s="146"/>
      <c r="B67" s="146"/>
      <c r="K67" s="172"/>
      <c r="L67" s="172"/>
      <c r="M67" s="172"/>
      <c r="N67" s="172"/>
      <c r="O67" s="172"/>
      <c r="P67" s="172"/>
      <c r="Q67" s="172"/>
      <c r="R67" s="172"/>
      <c r="S67" s="172"/>
    </row>
    <row r="68" spans="1:19" ht="15.75">
      <c r="A68" s="146"/>
      <c r="B68" s="146"/>
      <c r="K68" s="172"/>
      <c r="L68" s="172"/>
      <c r="M68" s="172"/>
      <c r="N68" s="172"/>
      <c r="O68" s="172"/>
      <c r="P68" s="172"/>
      <c r="Q68" s="172"/>
      <c r="R68" s="172"/>
      <c r="S68" s="172"/>
    </row>
    <row r="69" spans="1:19" ht="15.75">
      <c r="A69" s="146"/>
      <c r="B69" s="146"/>
      <c r="K69" s="172"/>
      <c r="L69" s="172"/>
      <c r="M69" s="172"/>
      <c r="N69" s="172"/>
      <c r="O69" s="172"/>
      <c r="P69" s="172"/>
      <c r="Q69" s="172"/>
      <c r="R69" s="172"/>
      <c r="S69" s="172"/>
    </row>
    <row r="70" spans="1:19" ht="15.75">
      <c r="A70" s="146"/>
      <c r="B70" s="146"/>
      <c r="K70" s="172"/>
      <c r="L70" s="172"/>
      <c r="M70" s="172"/>
      <c r="N70" s="172"/>
      <c r="O70" s="172"/>
      <c r="P70" s="172"/>
      <c r="Q70" s="172"/>
      <c r="R70" s="172"/>
      <c r="S70" s="172"/>
    </row>
    <row r="71" spans="1:19" ht="15.75">
      <c r="A71" s="146"/>
      <c r="B71" s="146"/>
      <c r="K71" s="172"/>
      <c r="L71" s="172"/>
      <c r="M71" s="172"/>
      <c r="N71" s="172"/>
      <c r="O71" s="172"/>
      <c r="P71" s="172"/>
      <c r="Q71" s="172"/>
      <c r="R71" s="172"/>
      <c r="S71" s="172"/>
    </row>
    <row r="72" spans="1:19" ht="15.75">
      <c r="A72" s="146"/>
      <c r="B72" s="146"/>
      <c r="K72" s="172"/>
      <c r="L72" s="172"/>
      <c r="M72" s="172"/>
      <c r="N72" s="172"/>
      <c r="O72" s="172"/>
      <c r="P72" s="172"/>
      <c r="Q72" s="172"/>
      <c r="R72" s="172"/>
      <c r="S72" s="172"/>
    </row>
    <row r="73" spans="1:19" ht="15.75">
      <c r="A73" s="146"/>
      <c r="B73" s="146"/>
      <c r="K73" s="172"/>
      <c r="L73" s="172"/>
      <c r="M73" s="172"/>
      <c r="N73" s="172"/>
      <c r="O73" s="172"/>
      <c r="P73" s="172"/>
      <c r="Q73" s="172"/>
      <c r="R73" s="172"/>
      <c r="S73" s="172"/>
    </row>
    <row r="74" spans="1:19" ht="15.75">
      <c r="A74" s="146"/>
      <c r="B74" s="146"/>
      <c r="K74" s="172"/>
      <c r="L74" s="172"/>
      <c r="M74" s="172"/>
      <c r="N74" s="172"/>
      <c r="O74" s="172"/>
      <c r="P74" s="172"/>
      <c r="Q74" s="172"/>
      <c r="R74" s="172"/>
      <c r="S74" s="172"/>
    </row>
    <row r="75" spans="1:19" ht="15.75">
      <c r="A75" s="146"/>
      <c r="B75" s="146"/>
      <c r="K75" s="172"/>
      <c r="L75" s="172"/>
      <c r="M75" s="172"/>
      <c r="N75" s="172"/>
      <c r="O75" s="172"/>
      <c r="P75" s="172"/>
      <c r="Q75" s="172"/>
      <c r="R75" s="172"/>
      <c r="S75" s="172"/>
    </row>
    <row r="76" spans="1:19" ht="15.75">
      <c r="A76" s="146"/>
      <c r="B76" s="146"/>
      <c r="K76" s="172"/>
      <c r="L76" s="172"/>
      <c r="M76" s="172"/>
      <c r="N76" s="172"/>
      <c r="O76" s="172"/>
      <c r="P76" s="172"/>
      <c r="Q76" s="172"/>
      <c r="R76" s="172"/>
      <c r="S76" s="172"/>
    </row>
    <row r="77" spans="1:19" ht="15.75">
      <c r="A77" s="146"/>
      <c r="B77" s="146"/>
      <c r="K77" s="172"/>
      <c r="L77" s="172"/>
      <c r="M77" s="172"/>
      <c r="N77" s="172"/>
      <c r="O77" s="172"/>
      <c r="P77" s="172"/>
      <c r="Q77" s="172"/>
      <c r="R77" s="172"/>
      <c r="S77" s="172"/>
    </row>
    <row r="78" spans="1:19" ht="15.75">
      <c r="A78" s="146"/>
      <c r="B78" s="146"/>
      <c r="K78" s="172"/>
      <c r="L78" s="172"/>
      <c r="M78" s="172"/>
      <c r="N78" s="172"/>
      <c r="O78" s="172"/>
      <c r="P78" s="172"/>
      <c r="Q78" s="172"/>
      <c r="R78" s="172"/>
      <c r="S78" s="172"/>
    </row>
    <row r="79" spans="1:19" ht="15.75">
      <c r="A79" s="146"/>
      <c r="B79" s="146"/>
      <c r="K79" s="172"/>
      <c r="L79" s="172"/>
      <c r="M79" s="172"/>
      <c r="N79" s="172"/>
      <c r="O79" s="172"/>
      <c r="P79" s="172"/>
      <c r="Q79" s="172"/>
      <c r="R79" s="172"/>
      <c r="S79" s="172"/>
    </row>
    <row r="80" spans="1:19" ht="15.75">
      <c r="A80" s="146"/>
      <c r="B80" s="146"/>
      <c r="K80" s="172"/>
      <c r="L80" s="172"/>
      <c r="M80" s="172"/>
      <c r="N80" s="172"/>
      <c r="O80" s="172"/>
      <c r="P80" s="172"/>
      <c r="Q80" s="172"/>
      <c r="R80" s="172"/>
      <c r="S80" s="172"/>
    </row>
    <row r="81" spans="1:19" ht="15.75">
      <c r="A81" s="146"/>
      <c r="B81" s="146"/>
      <c r="K81" s="172"/>
      <c r="L81" s="172"/>
      <c r="M81" s="172"/>
      <c r="N81" s="172"/>
      <c r="O81" s="172"/>
      <c r="P81" s="172"/>
      <c r="Q81" s="172"/>
      <c r="R81" s="172"/>
      <c r="S81" s="172"/>
    </row>
    <row r="82" spans="1:19" ht="15.75">
      <c r="A82" s="146"/>
      <c r="B82" s="146"/>
      <c r="K82" s="172"/>
      <c r="L82" s="172"/>
      <c r="M82" s="172"/>
      <c r="N82" s="172"/>
      <c r="O82" s="172"/>
      <c r="P82" s="172"/>
      <c r="Q82" s="172"/>
      <c r="R82" s="172"/>
      <c r="S82" s="172"/>
    </row>
    <row r="83" spans="1:19" ht="15.75">
      <c r="A83" s="146"/>
      <c r="B83" s="146"/>
      <c r="K83" s="172"/>
      <c r="L83" s="172"/>
      <c r="M83" s="172"/>
      <c r="N83" s="172"/>
      <c r="O83" s="172"/>
      <c r="P83" s="172"/>
      <c r="Q83" s="172"/>
      <c r="R83" s="172"/>
      <c r="S83" s="172"/>
    </row>
    <row r="84" spans="1:19" ht="15.75">
      <c r="A84" s="146"/>
      <c r="B84" s="146"/>
      <c r="K84" s="172"/>
      <c r="L84" s="172"/>
      <c r="M84" s="172"/>
      <c r="N84" s="172"/>
      <c r="O84" s="172"/>
      <c r="P84" s="172"/>
      <c r="Q84" s="172"/>
      <c r="R84" s="172"/>
      <c r="S84" s="172"/>
    </row>
    <row r="85" spans="1:19" ht="15.75">
      <c r="A85" s="146"/>
      <c r="B85" s="146"/>
      <c r="K85" s="172"/>
      <c r="L85" s="172"/>
      <c r="M85" s="172"/>
      <c r="N85" s="172"/>
      <c r="O85" s="172"/>
      <c r="P85" s="172"/>
      <c r="Q85" s="172"/>
      <c r="R85" s="172"/>
      <c r="S85" s="172"/>
    </row>
    <row r="86" spans="1:19" ht="15.75">
      <c r="A86" s="146"/>
      <c r="B86" s="146"/>
      <c r="K86" s="172"/>
      <c r="L86" s="172"/>
      <c r="M86" s="172"/>
      <c r="N86" s="172"/>
      <c r="O86" s="172"/>
      <c r="P86" s="172"/>
      <c r="Q86" s="172"/>
      <c r="R86" s="172"/>
      <c r="S86" s="172"/>
    </row>
    <row r="87" spans="1:19" ht="15.75">
      <c r="A87" s="146"/>
      <c r="B87" s="146"/>
      <c r="K87" s="172"/>
      <c r="L87" s="172"/>
      <c r="M87" s="172"/>
      <c r="N87" s="172"/>
      <c r="O87" s="172"/>
      <c r="P87" s="172"/>
      <c r="Q87" s="172"/>
      <c r="R87" s="172"/>
      <c r="S87" s="172"/>
    </row>
    <row r="88" spans="1:19" ht="15.75">
      <c r="A88" s="146"/>
      <c r="B88" s="146"/>
      <c r="K88" s="172"/>
      <c r="L88" s="172"/>
      <c r="M88" s="172"/>
      <c r="N88" s="172"/>
      <c r="O88" s="172"/>
      <c r="P88" s="172"/>
      <c r="Q88" s="172"/>
      <c r="R88" s="172"/>
      <c r="S88" s="172"/>
    </row>
    <row r="89" spans="1:19" ht="15.75">
      <c r="A89" s="146"/>
      <c r="B89" s="146"/>
      <c r="K89" s="172"/>
      <c r="L89" s="172"/>
      <c r="M89" s="172"/>
      <c r="N89" s="172"/>
      <c r="O89" s="172"/>
      <c r="P89" s="172"/>
      <c r="Q89" s="172"/>
      <c r="R89" s="172"/>
      <c r="S89" s="172"/>
    </row>
    <row r="90" spans="1:19" ht="15.75">
      <c r="A90" s="146"/>
      <c r="B90" s="146"/>
      <c r="K90" s="172"/>
      <c r="L90" s="172"/>
      <c r="M90" s="172"/>
      <c r="N90" s="172"/>
      <c r="O90" s="172"/>
      <c r="P90" s="172"/>
      <c r="Q90" s="172"/>
      <c r="R90" s="172"/>
      <c r="S90" s="172"/>
    </row>
    <row r="91" spans="1:19" ht="15.75">
      <c r="A91" s="146"/>
      <c r="B91" s="146"/>
      <c r="K91" s="172"/>
      <c r="L91" s="172"/>
      <c r="M91" s="172"/>
      <c r="N91" s="172"/>
      <c r="O91" s="172"/>
      <c r="P91" s="172"/>
      <c r="Q91" s="172"/>
      <c r="R91" s="172"/>
      <c r="S91" s="172"/>
    </row>
    <row r="92" spans="1:19" ht="15.75">
      <c r="A92" s="146"/>
      <c r="B92" s="146"/>
      <c r="K92" s="172"/>
      <c r="L92" s="172"/>
      <c r="M92" s="172"/>
      <c r="N92" s="172"/>
      <c r="O92" s="172"/>
      <c r="P92" s="172"/>
      <c r="Q92" s="172"/>
      <c r="R92" s="172"/>
      <c r="S92" s="172"/>
    </row>
    <row r="93" spans="1:19" ht="15.75">
      <c r="A93" s="146"/>
      <c r="B93" s="146"/>
      <c r="K93" s="172"/>
      <c r="L93" s="172"/>
      <c r="M93" s="172"/>
      <c r="N93" s="172"/>
      <c r="O93" s="172"/>
      <c r="P93" s="172"/>
      <c r="Q93" s="172"/>
      <c r="R93" s="172"/>
      <c r="S93" s="172"/>
    </row>
    <row r="94" spans="1:19" ht="15.75">
      <c r="A94" s="146"/>
      <c r="B94" s="146"/>
      <c r="K94" s="172"/>
      <c r="L94" s="172"/>
      <c r="M94" s="172"/>
      <c r="N94" s="172"/>
      <c r="O94" s="172"/>
      <c r="P94" s="172"/>
      <c r="Q94" s="172"/>
      <c r="R94" s="172"/>
      <c r="S94" s="172"/>
    </row>
    <row r="95" spans="1:19" ht="15.75">
      <c r="A95" s="146"/>
      <c r="B95" s="146"/>
      <c r="K95" s="172"/>
      <c r="L95" s="172"/>
      <c r="M95" s="172"/>
      <c r="N95" s="172"/>
      <c r="O95" s="172"/>
      <c r="P95" s="172"/>
      <c r="Q95" s="172"/>
      <c r="R95" s="172"/>
      <c r="S95" s="172"/>
    </row>
    <row r="96" spans="1:19" ht="15.75">
      <c r="A96" s="146"/>
      <c r="B96" s="146"/>
      <c r="K96" s="172"/>
      <c r="L96" s="172"/>
      <c r="M96" s="172"/>
      <c r="N96" s="172"/>
      <c r="O96" s="172"/>
      <c r="P96" s="172"/>
      <c r="Q96" s="172"/>
      <c r="R96" s="172"/>
      <c r="S96" s="172"/>
    </row>
    <row r="97" spans="1:19" ht="15.75">
      <c r="A97" s="146"/>
      <c r="B97" s="146"/>
      <c r="K97" s="172"/>
      <c r="L97" s="172"/>
      <c r="M97" s="172"/>
      <c r="N97" s="172"/>
      <c r="O97" s="172"/>
      <c r="P97" s="172"/>
      <c r="Q97" s="172"/>
      <c r="R97" s="172"/>
      <c r="S97" s="172"/>
    </row>
    <row r="98" spans="1:19" ht="15.75">
      <c r="A98" s="146"/>
      <c r="B98" s="146"/>
      <c r="K98" s="172"/>
      <c r="L98" s="172"/>
      <c r="M98" s="172"/>
      <c r="N98" s="172"/>
      <c r="O98" s="172"/>
      <c r="P98" s="172"/>
      <c r="Q98" s="172"/>
      <c r="R98" s="172"/>
      <c r="S98" s="172"/>
    </row>
    <row r="99" spans="1:19" ht="15.75">
      <c r="A99" s="146"/>
      <c r="B99" s="146"/>
      <c r="K99" s="172"/>
      <c r="L99" s="172"/>
      <c r="M99" s="172"/>
      <c r="N99" s="172"/>
      <c r="O99" s="172"/>
      <c r="P99" s="172"/>
      <c r="Q99" s="172"/>
      <c r="R99" s="172"/>
      <c r="S99" s="172"/>
    </row>
    <row r="100" spans="1:19" ht="15.75">
      <c r="A100" s="146"/>
      <c r="B100" s="146"/>
      <c r="K100" s="172"/>
      <c r="L100" s="172"/>
      <c r="M100" s="172"/>
      <c r="N100" s="172"/>
      <c r="O100" s="172"/>
      <c r="P100" s="172"/>
      <c r="Q100" s="172"/>
      <c r="R100" s="172"/>
      <c r="S100" s="172"/>
    </row>
    <row r="101" spans="1:19" ht="15.75">
      <c r="A101" s="146"/>
      <c r="B101" s="146"/>
      <c r="K101" s="172"/>
      <c r="L101" s="172"/>
      <c r="M101" s="172"/>
      <c r="N101" s="172"/>
      <c r="O101" s="172"/>
      <c r="P101" s="172"/>
      <c r="Q101" s="172"/>
      <c r="R101" s="172"/>
      <c r="S101" s="172"/>
    </row>
    <row r="102" spans="1:19" ht="15.75">
      <c r="A102" s="146"/>
      <c r="B102" s="146"/>
      <c r="K102" s="172"/>
      <c r="L102" s="172"/>
      <c r="M102" s="172"/>
      <c r="N102" s="172"/>
      <c r="O102" s="172"/>
      <c r="P102" s="172"/>
      <c r="Q102" s="172"/>
      <c r="R102" s="172"/>
      <c r="S102" s="172"/>
    </row>
    <row r="103" spans="1:19" ht="15.75">
      <c r="A103" s="146"/>
      <c r="B103" s="146"/>
      <c r="K103" s="172"/>
      <c r="L103" s="172"/>
      <c r="M103" s="172"/>
      <c r="N103" s="172"/>
      <c r="O103" s="172"/>
      <c r="P103" s="172"/>
      <c r="Q103" s="172"/>
      <c r="R103" s="172"/>
      <c r="S103" s="172"/>
    </row>
    <row r="104" spans="1:19" ht="15.75">
      <c r="A104" s="146"/>
      <c r="B104" s="146"/>
      <c r="K104" s="172"/>
      <c r="L104" s="172"/>
      <c r="M104" s="172"/>
      <c r="N104" s="172"/>
      <c r="O104" s="172"/>
      <c r="P104" s="172"/>
      <c r="Q104" s="172"/>
      <c r="R104" s="172"/>
      <c r="S104" s="172"/>
    </row>
    <row r="105" spans="1:19" ht="15.75">
      <c r="A105" s="146"/>
      <c r="B105" s="146"/>
      <c r="K105" s="172"/>
      <c r="L105" s="172"/>
      <c r="M105" s="172"/>
      <c r="N105" s="172"/>
      <c r="O105" s="172"/>
      <c r="P105" s="172"/>
      <c r="Q105" s="172"/>
      <c r="R105" s="172"/>
      <c r="S105" s="172"/>
    </row>
    <row r="106" spans="1:19" ht="15.75">
      <c r="A106" s="146"/>
      <c r="B106" s="146"/>
      <c r="K106" s="172"/>
      <c r="L106" s="172"/>
      <c r="M106" s="172"/>
      <c r="N106" s="172"/>
      <c r="O106" s="172"/>
      <c r="P106" s="172"/>
      <c r="Q106" s="172"/>
      <c r="R106" s="172"/>
      <c r="S106" s="172"/>
    </row>
    <row r="107" spans="1:19" ht="15.75">
      <c r="A107" s="146"/>
      <c r="B107" s="146"/>
      <c r="K107" s="172"/>
      <c r="L107" s="172"/>
      <c r="M107" s="172"/>
      <c r="N107" s="172"/>
      <c r="O107" s="172"/>
      <c r="P107" s="172"/>
      <c r="Q107" s="172"/>
      <c r="R107" s="172"/>
      <c r="S107" s="172"/>
    </row>
    <row r="108" spans="1:19" ht="15.75">
      <c r="A108" s="146"/>
      <c r="B108" s="146"/>
      <c r="K108" s="172"/>
      <c r="L108" s="172"/>
      <c r="M108" s="172"/>
      <c r="N108" s="172"/>
      <c r="O108" s="172"/>
      <c r="P108" s="172"/>
      <c r="Q108" s="172"/>
      <c r="R108" s="172"/>
      <c r="S108" s="172"/>
    </row>
    <row r="109" spans="1:19" ht="15.75">
      <c r="A109" s="146"/>
      <c r="B109" s="146"/>
      <c r="K109" s="172"/>
      <c r="L109" s="172"/>
      <c r="M109" s="172"/>
      <c r="N109" s="172"/>
      <c r="O109" s="172"/>
      <c r="P109" s="172"/>
      <c r="Q109" s="172"/>
      <c r="R109" s="172"/>
      <c r="S109" s="172"/>
    </row>
    <row r="110" spans="1:19" ht="15.75">
      <c r="A110" s="146"/>
      <c r="B110" s="146"/>
      <c r="K110" s="172"/>
      <c r="L110" s="172"/>
      <c r="M110" s="172"/>
      <c r="N110" s="172"/>
      <c r="O110" s="172"/>
      <c r="P110" s="172"/>
      <c r="Q110" s="172"/>
      <c r="R110" s="172"/>
      <c r="S110" s="172"/>
    </row>
    <row r="111" spans="1:19" ht="15.75">
      <c r="A111" s="146"/>
      <c r="B111" s="146"/>
      <c r="K111" s="172"/>
      <c r="L111" s="172"/>
      <c r="M111" s="172"/>
      <c r="N111" s="172"/>
      <c r="O111" s="172"/>
      <c r="P111" s="172"/>
      <c r="Q111" s="172"/>
      <c r="R111" s="172"/>
      <c r="S111" s="172"/>
    </row>
    <row r="112" spans="1:19" ht="15.75">
      <c r="A112" s="146"/>
      <c r="B112" s="146"/>
      <c r="K112" s="172"/>
      <c r="L112" s="172"/>
      <c r="M112" s="172"/>
      <c r="N112" s="172"/>
      <c r="O112" s="172"/>
      <c r="P112" s="172"/>
      <c r="Q112" s="172"/>
      <c r="R112" s="172"/>
      <c r="S112" s="172"/>
    </row>
  </sheetData>
  <sheetProtection/>
  <mergeCells count="3">
    <mergeCell ref="F1:G1"/>
    <mergeCell ref="A2:G3"/>
    <mergeCell ref="A41:B41"/>
  </mergeCells>
  <printOptions/>
  <pageMargins left="0.3937007874015748" right="0.3937007874015748" top="0.3937007874015748" bottom="0.3937007874015748" header="0.31496062992125984" footer="0.31496062992125984"/>
  <pageSetup fitToHeight="1" fitToWidth="1" horizontalDpi="1200" verticalDpi="1200" orientation="portrait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5" outlineLevelRow="1"/>
  <cols>
    <col min="1" max="1" width="8.28125" style="210" customWidth="1"/>
    <col min="2" max="2" width="39.00390625" style="211" customWidth="1"/>
    <col min="3" max="3" width="16.7109375" style="212" customWidth="1"/>
    <col min="4" max="4" width="18.00390625" style="180" customWidth="1"/>
    <col min="5" max="5" width="20.00390625" style="182" customWidth="1"/>
    <col min="6" max="6" width="14.421875" style="180" customWidth="1"/>
    <col min="7" max="9" width="9.140625" style="178" customWidth="1"/>
    <col min="10" max="12" width="9.140625" style="179" customWidth="1"/>
    <col min="13" max="16384" width="9.140625" style="180" customWidth="1"/>
  </cols>
  <sheetData>
    <row r="1" spans="1:6" ht="31.5" customHeight="1">
      <c r="A1" s="440" t="s">
        <v>517</v>
      </c>
      <c r="B1" s="440"/>
      <c r="C1" s="440"/>
      <c r="D1" s="440"/>
      <c r="E1" s="440"/>
      <c r="F1" s="440"/>
    </row>
    <row r="2" spans="1:6" ht="15.75">
      <c r="A2" s="148"/>
      <c r="B2" s="148"/>
      <c r="C2" s="181"/>
      <c r="F2" s="183" t="s">
        <v>246</v>
      </c>
    </row>
    <row r="3" spans="1:12" s="186" customFormat="1" ht="81.75" customHeight="1">
      <c r="A3" s="149" t="s">
        <v>197</v>
      </c>
      <c r="B3" s="150" t="s">
        <v>247</v>
      </c>
      <c r="C3" s="184" t="s">
        <v>518</v>
      </c>
      <c r="D3" s="151" t="s">
        <v>248</v>
      </c>
      <c r="E3" s="152" t="s">
        <v>249</v>
      </c>
      <c r="F3" s="151" t="s">
        <v>250</v>
      </c>
      <c r="G3" s="178"/>
      <c r="H3" s="178"/>
      <c r="I3" s="178"/>
      <c r="J3" s="185"/>
      <c r="K3" s="185"/>
      <c r="L3" s="185"/>
    </row>
    <row r="4" spans="1:12" s="186" customFormat="1" ht="17.25" customHeight="1">
      <c r="A4" s="149" t="s">
        <v>203</v>
      </c>
      <c r="B4" s="150">
        <v>2</v>
      </c>
      <c r="C4" s="187">
        <v>3</v>
      </c>
      <c r="D4" s="187">
        <v>4</v>
      </c>
      <c r="E4" s="152">
        <v>5</v>
      </c>
      <c r="F4" s="188">
        <v>6</v>
      </c>
      <c r="G4" s="178"/>
      <c r="H4" s="178"/>
      <c r="I4" s="178"/>
      <c r="J4" s="185"/>
      <c r="K4" s="185"/>
      <c r="L4" s="185"/>
    </row>
    <row r="5" spans="1:9" s="192" customFormat="1" ht="47.25">
      <c r="A5" s="155" t="s">
        <v>86</v>
      </c>
      <c r="B5" s="156" t="s">
        <v>251</v>
      </c>
      <c r="C5" s="189">
        <f>C6+C7+C8+C9+C10+C19</f>
        <v>66.60182771199999</v>
      </c>
      <c r="D5" s="157">
        <f>D6+D7+D8+D9+D10+D19</f>
        <v>54.13819464910811</v>
      </c>
      <c r="E5" s="158"/>
      <c r="F5" s="190">
        <f>F6+F7+F8+F9+F10+F19</f>
        <v>216.55277859643243</v>
      </c>
      <c r="G5" s="191"/>
      <c r="H5" s="191"/>
      <c r="I5" s="191"/>
    </row>
    <row r="6" spans="1:6" ht="15.75" customHeight="1">
      <c r="A6" s="149" t="s">
        <v>88</v>
      </c>
      <c r="B6" s="161" t="s">
        <v>11</v>
      </c>
      <c r="C6" s="184"/>
      <c r="D6" s="162"/>
      <c r="E6" s="158"/>
      <c r="F6" s="193">
        <f aca="true" t="shared" si="0" ref="F6:F22">D6*E6</f>
        <v>0</v>
      </c>
    </row>
    <row r="7" spans="1:6" ht="14.25" customHeight="1">
      <c r="A7" s="149" t="s">
        <v>97</v>
      </c>
      <c r="B7" s="161" t="s">
        <v>12</v>
      </c>
      <c r="C7" s="184"/>
      <c r="D7" s="162"/>
      <c r="E7" s="158"/>
      <c r="F7" s="193">
        <f t="shared" si="0"/>
        <v>0</v>
      </c>
    </row>
    <row r="8" spans="1:6" ht="15.75">
      <c r="A8" s="149" t="s">
        <v>100</v>
      </c>
      <c r="B8" s="161" t="s">
        <v>13</v>
      </c>
      <c r="C8" s="184">
        <f>'расходы факт 2021'!F14/1000</f>
        <v>50.32496</v>
      </c>
      <c r="D8" s="162">
        <f>'расходы (2020) '!V149/1000</f>
        <v>41.111224379637505</v>
      </c>
      <c r="E8" s="158">
        <v>4</v>
      </c>
      <c r="F8" s="193">
        <f>D8*E8</f>
        <v>164.44489751855002</v>
      </c>
    </row>
    <row r="9" spans="1:6" ht="14.25" customHeight="1" outlineLevel="1">
      <c r="A9" s="149" t="s">
        <v>108</v>
      </c>
      <c r="B9" s="161" t="s">
        <v>252</v>
      </c>
      <c r="C9" s="184">
        <f>'расходы факт 2021'!G14/1000</f>
        <v>15.29878784</v>
      </c>
      <c r="D9" s="162">
        <f>'расходы (2020) '!V150/1000</f>
        <v>12.497812211409801</v>
      </c>
      <c r="E9" s="158">
        <v>4</v>
      </c>
      <c r="F9" s="193">
        <f>D9*E9</f>
        <v>49.991248845639205</v>
      </c>
    </row>
    <row r="10" spans="1:6" ht="15" customHeight="1" outlineLevel="1">
      <c r="A10" s="149" t="s">
        <v>110</v>
      </c>
      <c r="B10" s="161" t="s">
        <v>253</v>
      </c>
      <c r="C10" s="184">
        <f>'расходы факт 2021'!H14/1000</f>
        <v>0.978079872</v>
      </c>
      <c r="D10" s="162">
        <f>('расходы (2020) '!V151)/1000</f>
        <v>0.5291580580608001</v>
      </c>
      <c r="E10" s="158">
        <v>4</v>
      </c>
      <c r="F10" s="193">
        <f>D10*E10</f>
        <v>2.1166322322432003</v>
      </c>
    </row>
    <row r="11" spans="1:6" ht="30" customHeight="1" outlineLevel="1">
      <c r="A11" s="149" t="s">
        <v>254</v>
      </c>
      <c r="B11" s="161" t="s">
        <v>255</v>
      </c>
      <c r="C11" s="184"/>
      <c r="D11" s="162"/>
      <c r="E11" s="158">
        <v>4</v>
      </c>
      <c r="F11" s="193">
        <f t="shared" si="0"/>
        <v>0</v>
      </c>
    </row>
    <row r="12" spans="1:6" ht="48.75" customHeight="1" outlineLevel="1">
      <c r="A12" s="149" t="s">
        <v>256</v>
      </c>
      <c r="B12" s="161" t="s">
        <v>257</v>
      </c>
      <c r="C12" s="184"/>
      <c r="D12" s="162"/>
      <c r="E12" s="158">
        <v>4</v>
      </c>
      <c r="F12" s="193">
        <f t="shared" si="0"/>
        <v>0</v>
      </c>
    </row>
    <row r="13" spans="1:6" ht="38.25" customHeight="1" outlineLevel="1">
      <c r="A13" s="149" t="s">
        <v>31</v>
      </c>
      <c r="B13" s="161" t="s">
        <v>258</v>
      </c>
      <c r="C13" s="184">
        <f>SUM(C14:C18)</f>
        <v>0.978079872</v>
      </c>
      <c r="D13" s="162">
        <f>D10-SUM(D11:D12)</f>
        <v>0.5291580580608001</v>
      </c>
      <c r="E13" s="158">
        <v>4</v>
      </c>
      <c r="F13" s="193">
        <f t="shared" si="0"/>
        <v>2.1166322322432003</v>
      </c>
    </row>
    <row r="14" spans="1:6" ht="15.75" outlineLevel="1">
      <c r="A14" s="149" t="s">
        <v>259</v>
      </c>
      <c r="B14" s="161" t="s">
        <v>16</v>
      </c>
      <c r="C14" s="194"/>
      <c r="D14" s="195"/>
      <c r="E14" s="158">
        <v>4</v>
      </c>
      <c r="F14" s="193">
        <f t="shared" si="0"/>
        <v>0</v>
      </c>
    </row>
    <row r="15" spans="1:6" ht="31.5" outlineLevel="1">
      <c r="A15" s="149" t="s">
        <v>260</v>
      </c>
      <c r="B15" s="161" t="s">
        <v>17</v>
      </c>
      <c r="C15" s="194"/>
      <c r="D15" s="195"/>
      <c r="E15" s="158">
        <v>4</v>
      </c>
      <c r="F15" s="193">
        <f t="shared" si="0"/>
        <v>0</v>
      </c>
    </row>
    <row r="16" spans="1:6" ht="47.25" outlineLevel="1">
      <c r="A16" s="149" t="s">
        <v>261</v>
      </c>
      <c r="B16" s="161" t="s">
        <v>262</v>
      </c>
      <c r="C16" s="194"/>
      <c r="D16" s="195"/>
      <c r="E16" s="158">
        <v>4</v>
      </c>
      <c r="F16" s="193">
        <f t="shared" si="0"/>
        <v>0</v>
      </c>
    </row>
    <row r="17" spans="1:6" ht="15.75" outlineLevel="1">
      <c r="A17" s="149" t="s">
        <v>263</v>
      </c>
      <c r="B17" s="161" t="s">
        <v>19</v>
      </c>
      <c r="C17" s="194"/>
      <c r="D17" s="195"/>
      <c r="E17" s="158">
        <v>4</v>
      </c>
      <c r="F17" s="193">
        <f t="shared" si="0"/>
        <v>0</v>
      </c>
    </row>
    <row r="18" spans="1:6" ht="31.5" outlineLevel="1">
      <c r="A18" s="149" t="s">
        <v>264</v>
      </c>
      <c r="B18" s="161" t="s">
        <v>20</v>
      </c>
      <c r="C18" s="194">
        <f>C10-SUM(C6:C7,C11:C12,C14:C17)</f>
        <v>0.978079872</v>
      </c>
      <c r="D18" s="195">
        <f>D13-SUM(D14:D17)</f>
        <v>0.5291580580608001</v>
      </c>
      <c r="E18" s="158">
        <v>4</v>
      </c>
      <c r="F18" s="193">
        <f>D18*E18</f>
        <v>2.1166322322432003</v>
      </c>
    </row>
    <row r="19" spans="1:6" ht="31.5" outlineLevel="1">
      <c r="A19" s="149" t="s">
        <v>113</v>
      </c>
      <c r="B19" s="161" t="s">
        <v>265</v>
      </c>
      <c r="C19" s="162">
        <f>C20+C21+C22</f>
        <v>0</v>
      </c>
      <c r="D19" s="162">
        <f>D20+D21+D22</f>
        <v>0</v>
      </c>
      <c r="E19" s="158"/>
      <c r="F19" s="193">
        <f t="shared" si="0"/>
        <v>0</v>
      </c>
    </row>
    <row r="20" spans="1:6" ht="15" customHeight="1" outlineLevel="1">
      <c r="A20" s="149" t="s">
        <v>266</v>
      </c>
      <c r="B20" s="161" t="s">
        <v>23</v>
      </c>
      <c r="C20" s="184"/>
      <c r="D20" s="162"/>
      <c r="E20" s="158"/>
      <c r="F20" s="193">
        <f t="shared" si="0"/>
        <v>0</v>
      </c>
    </row>
    <row r="21" spans="1:6" ht="15.75" customHeight="1" outlineLevel="1">
      <c r="A21" s="149" t="s">
        <v>267</v>
      </c>
      <c r="B21" s="161" t="s">
        <v>44</v>
      </c>
      <c r="C21" s="184"/>
      <c r="D21" s="162"/>
      <c r="E21" s="158"/>
      <c r="F21" s="193">
        <f t="shared" si="0"/>
        <v>0</v>
      </c>
    </row>
    <row r="22" spans="1:6" ht="15" customHeight="1" outlineLevel="1">
      <c r="A22" s="149" t="s">
        <v>268</v>
      </c>
      <c r="B22" s="161" t="s">
        <v>45</v>
      </c>
      <c r="C22" s="184"/>
      <c r="D22" s="162"/>
      <c r="E22" s="158"/>
      <c r="F22" s="193">
        <f t="shared" si="0"/>
        <v>0</v>
      </c>
    </row>
    <row r="23" spans="1:5" ht="15" customHeight="1" hidden="1" outlineLevel="1">
      <c r="A23" s="196"/>
      <c r="B23" s="197" t="s">
        <v>269</v>
      </c>
      <c r="C23" s="184"/>
      <c r="D23" s="198"/>
      <c r="E23" s="152"/>
    </row>
    <row r="24" spans="1:12" s="199" customFormat="1" ht="14.25" customHeight="1" hidden="1">
      <c r="A24" s="196"/>
      <c r="B24" s="197" t="s">
        <v>270</v>
      </c>
      <c r="C24" s="184"/>
      <c r="D24" s="198"/>
      <c r="E24" s="152"/>
      <c r="G24" s="178"/>
      <c r="H24" s="178"/>
      <c r="I24" s="178"/>
      <c r="J24" s="179"/>
      <c r="K24" s="179"/>
      <c r="L24" s="179"/>
    </row>
    <row r="25" spans="1:12" s="199" customFormat="1" ht="15.75" customHeight="1" hidden="1" collapsed="1">
      <c r="A25" s="200"/>
      <c r="B25" s="201" t="s">
        <v>271</v>
      </c>
      <c r="C25" s="202"/>
      <c r="D25" s="203"/>
      <c r="E25" s="204"/>
      <c r="G25" s="178"/>
      <c r="H25" s="178"/>
      <c r="I25" s="178"/>
      <c r="J25" s="179"/>
      <c r="K25" s="179"/>
      <c r="L25" s="179"/>
    </row>
    <row r="26" spans="1:5" ht="18" customHeight="1" hidden="1">
      <c r="A26" s="205"/>
      <c r="B26" s="197" t="s">
        <v>269</v>
      </c>
      <c r="C26" s="184"/>
      <c r="D26" s="206"/>
      <c r="E26" s="152"/>
    </row>
    <row r="27" spans="1:12" s="209" customFormat="1" ht="18" customHeight="1" hidden="1">
      <c r="A27" s="207"/>
      <c r="B27" s="156" t="s">
        <v>272</v>
      </c>
      <c r="C27" s="189"/>
      <c r="D27" s="157" t="e">
        <f>#REF!/#REF!</f>
        <v>#REF!</v>
      </c>
      <c r="E27" s="208"/>
      <c r="G27" s="178"/>
      <c r="H27" s="178"/>
      <c r="I27" s="178"/>
      <c r="J27" s="185"/>
      <c r="K27" s="185"/>
      <c r="L27" s="185"/>
    </row>
    <row r="28" spans="1:12" s="199" customFormat="1" ht="15" customHeight="1" hidden="1">
      <c r="A28" s="196"/>
      <c r="B28" s="197" t="s">
        <v>271</v>
      </c>
      <c r="C28" s="184"/>
      <c r="D28" s="198"/>
      <c r="E28" s="152"/>
      <c r="G28" s="178"/>
      <c r="H28" s="178"/>
      <c r="I28" s="178"/>
      <c r="J28" s="179"/>
      <c r="K28" s="179"/>
      <c r="L28" s="179"/>
    </row>
    <row r="29" ht="15" customHeight="1"/>
    <row r="30" spans="1:12" s="214" customFormat="1" ht="13.5" customHeight="1">
      <c r="A30" s="441" t="s">
        <v>196</v>
      </c>
      <c r="B30" s="441"/>
      <c r="C30" s="213"/>
      <c r="E30" s="442" t="s">
        <v>175</v>
      </c>
      <c r="F30" s="442"/>
      <c r="G30" s="191"/>
      <c r="H30" s="191"/>
      <c r="I30" s="191"/>
      <c r="J30" s="192"/>
      <c r="K30" s="192"/>
      <c r="L30" s="192"/>
    </row>
    <row r="31" ht="13.5" customHeight="1"/>
  </sheetData>
  <sheetProtection/>
  <mergeCells count="3">
    <mergeCell ref="A1:F1"/>
    <mergeCell ref="A30:B30"/>
    <mergeCell ref="E30:F30"/>
  </mergeCells>
  <printOptions/>
  <pageMargins left="0.7086614173228347" right="0.3937007874015748" top="0.3937007874015748" bottom="0.3937007874015748" header="0.31496062992125984" footer="0.31496062992125984"/>
  <pageSetup fitToHeight="1" fitToWidth="1" horizontalDpi="1200" verticalDpi="12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4.00390625" style="253" customWidth="1"/>
    <col min="2" max="2" width="44.7109375" style="253" customWidth="1"/>
    <col min="3" max="4" width="21.00390625" style="253" customWidth="1"/>
    <col min="5" max="5" width="18.00390625" style="253" customWidth="1"/>
    <col min="6" max="16384" width="9.140625" style="253" customWidth="1"/>
  </cols>
  <sheetData>
    <row r="1" spans="2:4" ht="15.75">
      <c r="B1" s="358" t="s">
        <v>337</v>
      </c>
      <c r="C1" s="358"/>
      <c r="D1" s="358"/>
    </row>
    <row r="2" spans="1:4" ht="33" customHeight="1">
      <c r="A2" s="443" t="s">
        <v>338</v>
      </c>
      <c r="B2" s="443"/>
      <c r="C2" s="443"/>
      <c r="D2" s="443"/>
    </row>
    <row r="4" spans="1:5" s="255" customFormat="1" ht="189">
      <c r="A4" s="254" t="s">
        <v>319</v>
      </c>
      <c r="B4" s="254" t="s">
        <v>1</v>
      </c>
      <c r="C4" s="254" t="s">
        <v>339</v>
      </c>
      <c r="D4" s="254" t="s">
        <v>340</v>
      </c>
      <c r="E4" s="254" t="s">
        <v>341</v>
      </c>
    </row>
    <row r="5" spans="1:5" ht="31.5">
      <c r="A5" s="254" t="s">
        <v>86</v>
      </c>
      <c r="B5" s="256" t="s">
        <v>342</v>
      </c>
      <c r="C5" s="254" t="s">
        <v>214</v>
      </c>
      <c r="D5" s="254" t="s">
        <v>214</v>
      </c>
      <c r="E5" s="254" t="s">
        <v>214</v>
      </c>
    </row>
    <row r="6" spans="1:5" ht="15.75">
      <c r="A6" s="257"/>
      <c r="B6" s="258" t="s">
        <v>343</v>
      </c>
      <c r="C6" s="254">
        <v>0</v>
      </c>
      <c r="D6" s="254">
        <v>0</v>
      </c>
      <c r="E6" s="254">
        <v>0</v>
      </c>
    </row>
    <row r="7" spans="1:5" ht="15.75">
      <c r="A7" s="254"/>
      <c r="B7" s="258" t="s">
        <v>344</v>
      </c>
      <c r="C7" s="254">
        <v>0</v>
      </c>
      <c r="D7" s="254">
        <v>0</v>
      </c>
      <c r="E7" s="254">
        <v>0</v>
      </c>
    </row>
    <row r="8" spans="1:5" ht="15.75">
      <c r="A8" s="257"/>
      <c r="B8" s="259" t="s">
        <v>345</v>
      </c>
      <c r="C8" s="254">
        <v>0</v>
      </c>
      <c r="D8" s="254">
        <v>0</v>
      </c>
      <c r="E8" s="254">
        <v>0</v>
      </c>
    </row>
    <row r="9" spans="1:5" ht="31.5">
      <c r="A9" s="254" t="s">
        <v>213</v>
      </c>
      <c r="B9" s="256" t="s">
        <v>346</v>
      </c>
      <c r="C9" s="254" t="s">
        <v>214</v>
      </c>
      <c r="D9" s="254" t="s">
        <v>214</v>
      </c>
      <c r="E9" s="254" t="s">
        <v>214</v>
      </c>
    </row>
    <row r="10" spans="1:5" ht="15.75">
      <c r="A10" s="257"/>
      <c r="B10" s="258" t="s">
        <v>343</v>
      </c>
      <c r="C10" s="254">
        <v>0</v>
      </c>
      <c r="D10" s="254">
        <v>0</v>
      </c>
      <c r="E10" s="254">
        <v>0</v>
      </c>
    </row>
    <row r="11" spans="1:5" ht="15.75">
      <c r="A11" s="257"/>
      <c r="B11" s="258" t="s">
        <v>344</v>
      </c>
      <c r="C11" s="254">
        <v>0</v>
      </c>
      <c r="D11" s="254">
        <v>0</v>
      </c>
      <c r="E11" s="254">
        <v>0</v>
      </c>
    </row>
    <row r="12" spans="1:5" ht="15.75">
      <c r="A12" s="257"/>
      <c r="B12" s="259" t="s">
        <v>345</v>
      </c>
      <c r="C12" s="254">
        <v>0</v>
      </c>
      <c r="D12" s="254">
        <v>0</v>
      </c>
      <c r="E12" s="254">
        <v>0</v>
      </c>
    </row>
  </sheetData>
  <sheetProtection/>
  <mergeCells count="2">
    <mergeCell ref="B1:D1"/>
    <mergeCell ref="A2:D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4.00390625" style="253" customWidth="1"/>
    <col min="2" max="2" width="44.7109375" style="253" customWidth="1"/>
    <col min="3" max="4" width="21.00390625" style="253" customWidth="1"/>
    <col min="5" max="16384" width="9.140625" style="253" customWidth="1"/>
  </cols>
  <sheetData>
    <row r="2" spans="2:4" ht="15.75">
      <c r="B2" s="358" t="s">
        <v>515</v>
      </c>
      <c r="C2" s="358"/>
      <c r="D2" s="358"/>
    </row>
    <row r="3" spans="1:4" ht="34.5" customHeight="1">
      <c r="A3" s="443" t="s">
        <v>391</v>
      </c>
      <c r="B3" s="443"/>
      <c r="C3" s="443"/>
      <c r="D3" s="443"/>
    </row>
    <row r="5" spans="1:4" s="255" customFormat="1" ht="94.5">
      <c r="A5" s="254" t="s">
        <v>319</v>
      </c>
      <c r="B5" s="254" t="s">
        <v>1</v>
      </c>
      <c r="C5" s="254" t="s">
        <v>392</v>
      </c>
      <c r="D5" s="254" t="s">
        <v>341</v>
      </c>
    </row>
    <row r="6" spans="1:4" ht="31.5">
      <c r="A6" s="254" t="s">
        <v>86</v>
      </c>
      <c r="B6" s="256" t="s">
        <v>393</v>
      </c>
      <c r="C6" s="254">
        <v>0</v>
      </c>
      <c r="D6" s="254">
        <v>0</v>
      </c>
    </row>
    <row r="7" spans="1:4" ht="69" customHeight="1">
      <c r="A7" s="254" t="s">
        <v>213</v>
      </c>
      <c r="B7" s="256" t="s">
        <v>394</v>
      </c>
      <c r="C7" s="254">
        <v>0</v>
      </c>
      <c r="D7" s="254">
        <v>0</v>
      </c>
    </row>
    <row r="8" spans="1:4" ht="47.25">
      <c r="A8" s="254" t="s">
        <v>227</v>
      </c>
      <c r="B8" s="256" t="s">
        <v>395</v>
      </c>
      <c r="C8" s="254">
        <v>0</v>
      </c>
      <c r="D8" s="254">
        <v>0</v>
      </c>
    </row>
    <row r="10" spans="1:4" ht="53.25" customHeight="1">
      <c r="A10" s="444" t="s">
        <v>516</v>
      </c>
      <c r="B10" s="444"/>
      <c r="C10" s="444"/>
      <c r="D10" s="444"/>
    </row>
  </sheetData>
  <sheetProtection/>
  <mergeCells count="3">
    <mergeCell ref="B2:D2"/>
    <mergeCell ref="A3:D3"/>
    <mergeCell ref="A10:D1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view="pageBreakPreview" zoomScaleSheetLayoutView="100" zoomScalePageLayoutView="0" workbookViewId="0" topLeftCell="A1">
      <selection activeCell="G15" sqref="G15"/>
    </sheetView>
  </sheetViews>
  <sheetFormatPr defaultColWidth="9.140625" defaultRowHeight="15"/>
  <cols>
    <col min="1" max="1" width="4.421875" style="0" customWidth="1"/>
    <col min="2" max="2" width="26.140625" style="0" customWidth="1"/>
    <col min="3" max="8" width="8.57421875" style="0" customWidth="1"/>
    <col min="9" max="11" width="12.140625" style="0" customWidth="1"/>
  </cols>
  <sheetData>
    <row r="1" spans="2:10" ht="15">
      <c r="B1" s="366" t="s">
        <v>512</v>
      </c>
      <c r="C1" s="366"/>
      <c r="D1" s="366"/>
      <c r="E1" s="366"/>
      <c r="F1" s="366"/>
      <c r="G1" s="366"/>
      <c r="H1" s="366"/>
      <c r="I1" s="366"/>
      <c r="J1" s="366"/>
    </row>
    <row r="2" spans="1:11" ht="15">
      <c r="A2" s="447" t="s">
        <v>348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</row>
    <row r="3" ht="15">
      <c r="J3">
        <v>2021</v>
      </c>
    </row>
    <row r="4" spans="1:11" ht="27.75" customHeight="1">
      <c r="A4" s="448" t="s">
        <v>319</v>
      </c>
      <c r="B4" s="448" t="s">
        <v>349</v>
      </c>
      <c r="C4" s="450" t="s">
        <v>350</v>
      </c>
      <c r="D4" s="450"/>
      <c r="E4" s="450"/>
      <c r="F4" s="450" t="s">
        <v>351</v>
      </c>
      <c r="G4" s="450"/>
      <c r="H4" s="450"/>
      <c r="I4" s="450" t="s">
        <v>352</v>
      </c>
      <c r="J4" s="450"/>
      <c r="K4" s="450"/>
    </row>
    <row r="5" spans="1:11" ht="15">
      <c r="A5" s="449"/>
      <c r="B5" s="448"/>
      <c r="C5" s="5" t="s">
        <v>343</v>
      </c>
      <c r="D5" s="5" t="s">
        <v>353</v>
      </c>
      <c r="E5" s="5" t="s">
        <v>354</v>
      </c>
      <c r="F5" s="5" t="s">
        <v>343</v>
      </c>
      <c r="G5" s="5" t="s">
        <v>353</v>
      </c>
      <c r="H5" s="5" t="s">
        <v>354</v>
      </c>
      <c r="I5" s="5" t="s">
        <v>343</v>
      </c>
      <c r="J5" s="5" t="s">
        <v>353</v>
      </c>
      <c r="K5" s="5" t="s">
        <v>354</v>
      </c>
    </row>
    <row r="6" spans="1:11" ht="15">
      <c r="A6" s="260" t="s">
        <v>86</v>
      </c>
      <c r="B6" s="261" t="s">
        <v>355</v>
      </c>
      <c r="C6" s="4">
        <f>C8</f>
        <v>4</v>
      </c>
      <c r="D6" s="4">
        <v>0</v>
      </c>
      <c r="E6" s="4">
        <v>0</v>
      </c>
      <c r="F6" s="4">
        <f>F8</f>
        <v>60</v>
      </c>
      <c r="G6" s="4">
        <v>0</v>
      </c>
      <c r="H6" s="4">
        <v>0</v>
      </c>
      <c r="I6" s="4">
        <f>I8</f>
        <v>1.8333199999999998</v>
      </c>
      <c r="J6" s="4">
        <v>0</v>
      </c>
      <c r="K6" s="4">
        <v>0</v>
      </c>
    </row>
    <row r="7" spans="1:11" ht="15">
      <c r="A7" s="262"/>
      <c r="B7" s="261" t="s">
        <v>356</v>
      </c>
      <c r="C7" s="4"/>
      <c r="D7" s="4"/>
      <c r="E7" s="4"/>
      <c r="F7" s="4"/>
      <c r="G7" s="4"/>
      <c r="H7" s="4"/>
      <c r="I7" s="4"/>
      <c r="J7" s="4"/>
      <c r="K7" s="4"/>
    </row>
    <row r="8" spans="1:11" ht="15">
      <c r="A8" s="263"/>
      <c r="B8" s="261" t="s">
        <v>357</v>
      </c>
      <c r="C8" s="4">
        <v>4</v>
      </c>
      <c r="D8" s="4">
        <v>0</v>
      </c>
      <c r="E8" s="4">
        <v>0</v>
      </c>
      <c r="F8" s="4">
        <v>60</v>
      </c>
      <c r="G8" s="4">
        <v>0</v>
      </c>
      <c r="H8" s="4">
        <v>0</v>
      </c>
      <c r="I8" s="4">
        <f>458.33*4/1000</f>
        <v>1.8333199999999998</v>
      </c>
      <c r="J8" s="4">
        <v>0</v>
      </c>
      <c r="K8" s="4">
        <v>0</v>
      </c>
    </row>
    <row r="9" spans="1:11" ht="15">
      <c r="A9" s="260" t="s">
        <v>213</v>
      </c>
      <c r="B9" s="264" t="s">
        <v>358</v>
      </c>
      <c r="C9" s="4">
        <v>0</v>
      </c>
      <c r="D9" s="4">
        <v>1</v>
      </c>
      <c r="E9" s="4">
        <v>0</v>
      </c>
      <c r="F9" s="4">
        <v>0</v>
      </c>
      <c r="G9" s="4">
        <v>50</v>
      </c>
      <c r="H9" s="4">
        <v>0</v>
      </c>
      <c r="I9" s="4">
        <v>0</v>
      </c>
      <c r="J9" s="4">
        <v>23.833</v>
      </c>
      <c r="K9" s="4">
        <v>0</v>
      </c>
    </row>
    <row r="10" spans="1:11" ht="15">
      <c r="A10" s="262"/>
      <c r="B10" s="264" t="s">
        <v>356</v>
      </c>
      <c r="C10" s="4"/>
      <c r="D10" s="4"/>
      <c r="E10" s="4"/>
      <c r="F10" s="4"/>
      <c r="G10" s="4"/>
      <c r="H10" s="4"/>
      <c r="I10" s="4"/>
      <c r="J10" s="4"/>
      <c r="K10" s="4"/>
    </row>
    <row r="11" spans="1:11" ht="15">
      <c r="A11" s="263"/>
      <c r="B11" s="264" t="s">
        <v>359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ht="30">
      <c r="A12" s="260" t="s">
        <v>227</v>
      </c>
      <c r="B12" s="264" t="s">
        <v>360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15">
      <c r="A13" s="262"/>
      <c r="B13" s="264" t="s">
        <v>356</v>
      </c>
      <c r="C13" s="4"/>
      <c r="D13" s="4"/>
      <c r="E13" s="4"/>
      <c r="F13" s="4"/>
      <c r="G13" s="4"/>
      <c r="H13" s="4"/>
      <c r="I13" s="4"/>
      <c r="J13" s="4"/>
      <c r="K13" s="4"/>
    </row>
    <row r="14" spans="1:11" ht="30">
      <c r="A14" s="263"/>
      <c r="B14" s="264" t="s">
        <v>361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ht="30">
      <c r="A15" s="260" t="s">
        <v>239</v>
      </c>
      <c r="B15" s="264" t="s">
        <v>362</v>
      </c>
      <c r="C15" s="4">
        <v>0</v>
      </c>
      <c r="D15" s="4">
        <v>1</v>
      </c>
      <c r="E15" s="4">
        <v>0</v>
      </c>
      <c r="F15" s="4">
        <v>0</v>
      </c>
      <c r="G15" s="4">
        <v>1550</v>
      </c>
      <c r="H15" s="4">
        <v>0</v>
      </c>
      <c r="I15" s="4">
        <v>0</v>
      </c>
      <c r="J15" s="265">
        <v>282.44718</v>
      </c>
      <c r="K15" s="4">
        <v>0</v>
      </c>
    </row>
    <row r="16" spans="1:11" ht="15">
      <c r="A16" s="262"/>
      <c r="B16" s="264" t="s">
        <v>356</v>
      </c>
      <c r="C16" s="4"/>
      <c r="D16" s="4"/>
      <c r="E16" s="4"/>
      <c r="F16" s="4"/>
      <c r="G16" s="4"/>
      <c r="H16" s="4"/>
      <c r="I16" s="4"/>
      <c r="J16" s="4"/>
      <c r="K16" s="4"/>
    </row>
    <row r="17" spans="1:11" ht="30">
      <c r="A17" s="263"/>
      <c r="B17" s="264" t="s">
        <v>361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15">
      <c r="A18" s="260" t="s">
        <v>241</v>
      </c>
      <c r="B18" s="264" t="s">
        <v>363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 ht="15">
      <c r="A19" s="262"/>
      <c r="B19" s="264" t="s">
        <v>356</v>
      </c>
      <c r="C19" s="4"/>
      <c r="D19" s="4"/>
      <c r="E19" s="4"/>
      <c r="F19" s="4"/>
      <c r="G19" s="4"/>
      <c r="H19" s="4"/>
      <c r="I19" s="4"/>
      <c r="J19" s="4"/>
      <c r="K19" s="4"/>
    </row>
    <row r="20" spans="1:11" ht="30">
      <c r="A20" s="263"/>
      <c r="B20" s="264" t="s">
        <v>361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15">
      <c r="A21" s="266" t="s">
        <v>152</v>
      </c>
      <c r="B21" s="264" t="s">
        <v>364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2:11" ht="15">
      <c r="B22" s="267" t="s">
        <v>513</v>
      </c>
      <c r="C22" s="285"/>
      <c r="D22" s="285"/>
      <c r="E22" s="285"/>
      <c r="F22" s="285"/>
      <c r="G22" s="285"/>
      <c r="H22" s="285"/>
      <c r="I22" s="285"/>
      <c r="J22" s="285"/>
      <c r="K22" s="285"/>
    </row>
    <row r="23" spans="2:11" ht="27.75" customHeight="1">
      <c r="B23" s="445" t="s">
        <v>365</v>
      </c>
      <c r="C23" s="445"/>
      <c r="D23" s="445"/>
      <c r="E23" s="445"/>
      <c r="F23" s="445"/>
      <c r="G23" s="445"/>
      <c r="H23" s="445"/>
      <c r="I23" s="445"/>
      <c r="J23" s="445"/>
      <c r="K23" s="445"/>
    </row>
    <row r="24" spans="2:11" ht="83.25" customHeight="1">
      <c r="B24" s="446" t="s">
        <v>366</v>
      </c>
      <c r="C24" s="446"/>
      <c r="D24" s="446"/>
      <c r="E24" s="446"/>
      <c r="F24" s="446"/>
      <c r="G24" s="446"/>
      <c r="H24" s="446"/>
      <c r="I24" s="446"/>
      <c r="J24" s="446"/>
      <c r="K24" s="446"/>
    </row>
    <row r="26" spans="1:11" ht="31.5" customHeight="1">
      <c r="A26" s="359" t="s">
        <v>514</v>
      </c>
      <c r="B26" s="359"/>
      <c r="C26" s="359"/>
      <c r="D26" s="359"/>
      <c r="E26" s="359"/>
      <c r="F26" s="359"/>
      <c r="G26" s="359"/>
      <c r="H26" s="359"/>
      <c r="I26" s="359"/>
      <c r="J26" s="359"/>
      <c r="K26" s="359"/>
    </row>
  </sheetData>
  <sheetProtection/>
  <mergeCells count="10">
    <mergeCell ref="A26:K26"/>
    <mergeCell ref="B23:K23"/>
    <mergeCell ref="B24:K24"/>
    <mergeCell ref="B1:J1"/>
    <mergeCell ref="A2:K2"/>
    <mergeCell ref="A4:A5"/>
    <mergeCell ref="B4:B5"/>
    <mergeCell ref="C4:E4"/>
    <mergeCell ref="F4:H4"/>
    <mergeCell ref="I4:K4"/>
  </mergeCells>
  <printOptions/>
  <pageMargins left="0.7874015748031497" right="0.3937007874015748" top="0.3937007874015748" bottom="0.3937007874015748" header="0.31496062992125984" footer="0.31496062992125984"/>
  <pageSetup fitToHeight="1" fitToWidth="1" horizontalDpi="1200" verticalDpi="1200" orientation="portrait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9">
      <selection activeCell="B23" sqref="B23:H23"/>
    </sheetView>
  </sheetViews>
  <sheetFormatPr defaultColWidth="9.140625" defaultRowHeight="15"/>
  <cols>
    <col min="1" max="1" width="4.421875" style="0" customWidth="1"/>
    <col min="2" max="2" width="26.140625" style="0" customWidth="1"/>
    <col min="3" max="8" width="8.57421875" style="0" customWidth="1"/>
  </cols>
  <sheetData>
    <row r="1" spans="2:8" ht="15">
      <c r="B1" s="366" t="s">
        <v>347</v>
      </c>
      <c r="C1" s="366"/>
      <c r="D1" s="366"/>
      <c r="E1" s="366"/>
      <c r="F1" s="366"/>
      <c r="G1" s="366"/>
      <c r="H1" s="141"/>
    </row>
    <row r="2" spans="1:8" ht="15">
      <c r="A2" s="447" t="s">
        <v>367</v>
      </c>
      <c r="B2" s="447"/>
      <c r="C2" s="447"/>
      <c r="D2" s="447"/>
      <c r="E2" s="447"/>
      <c r="F2" s="447"/>
      <c r="G2" s="447"/>
      <c r="H2" s="447"/>
    </row>
    <row r="3" ht="15">
      <c r="G3">
        <v>2021</v>
      </c>
    </row>
    <row r="4" spans="1:8" ht="27.75" customHeight="1">
      <c r="A4" s="448" t="s">
        <v>319</v>
      </c>
      <c r="B4" s="448" t="s">
        <v>349</v>
      </c>
      <c r="C4" s="450" t="s">
        <v>350</v>
      </c>
      <c r="D4" s="450"/>
      <c r="E4" s="450"/>
      <c r="F4" s="450" t="s">
        <v>351</v>
      </c>
      <c r="G4" s="450"/>
      <c r="H4" s="450"/>
    </row>
    <row r="5" spans="1:8" ht="30">
      <c r="A5" s="449"/>
      <c r="B5" s="448"/>
      <c r="C5" s="5" t="s">
        <v>343</v>
      </c>
      <c r="D5" s="5" t="s">
        <v>353</v>
      </c>
      <c r="E5" s="5" t="s">
        <v>354</v>
      </c>
      <c r="F5" s="5" t="s">
        <v>343</v>
      </c>
      <c r="G5" s="5" t="s">
        <v>353</v>
      </c>
      <c r="H5" s="8" t="s">
        <v>354</v>
      </c>
    </row>
    <row r="6" spans="1:8" ht="15">
      <c r="A6" s="260" t="s">
        <v>86</v>
      </c>
      <c r="B6" s="261" t="s">
        <v>355</v>
      </c>
      <c r="C6" s="4">
        <v>3</v>
      </c>
      <c r="D6" s="4">
        <v>0</v>
      </c>
      <c r="E6" s="4">
        <v>0</v>
      </c>
      <c r="F6" s="4">
        <v>45</v>
      </c>
      <c r="G6" s="4">
        <v>0</v>
      </c>
      <c r="H6" s="4">
        <v>0</v>
      </c>
    </row>
    <row r="7" spans="1:8" ht="15">
      <c r="A7" s="262"/>
      <c r="B7" s="261" t="s">
        <v>356</v>
      </c>
      <c r="C7" s="4"/>
      <c r="D7" s="4"/>
      <c r="E7" s="4"/>
      <c r="F7" s="4"/>
      <c r="G7" s="4"/>
      <c r="H7" s="4"/>
    </row>
    <row r="8" spans="1:8" ht="15">
      <c r="A8" s="263"/>
      <c r="B8" s="261" t="s">
        <v>357</v>
      </c>
      <c r="C8" s="4">
        <v>3</v>
      </c>
      <c r="D8" s="4">
        <v>0</v>
      </c>
      <c r="E8" s="4">
        <v>0</v>
      </c>
      <c r="F8" s="4">
        <v>45</v>
      </c>
      <c r="G8" s="4">
        <v>0</v>
      </c>
      <c r="H8" s="4">
        <v>0</v>
      </c>
    </row>
    <row r="9" spans="1:8" ht="15">
      <c r="A9" s="260" t="s">
        <v>213</v>
      </c>
      <c r="B9" s="264" t="s">
        <v>358</v>
      </c>
      <c r="C9" s="4">
        <v>0</v>
      </c>
      <c r="D9" s="4">
        <v>1</v>
      </c>
      <c r="E9" s="4">
        <v>0</v>
      </c>
      <c r="F9" s="4">
        <v>0</v>
      </c>
      <c r="G9" s="4">
        <v>50</v>
      </c>
      <c r="H9" s="4">
        <v>0</v>
      </c>
    </row>
    <row r="10" spans="1:8" ht="15">
      <c r="A10" s="262"/>
      <c r="B10" s="264" t="s">
        <v>356</v>
      </c>
      <c r="C10" s="4"/>
      <c r="D10" s="4"/>
      <c r="E10" s="4"/>
      <c r="F10" s="4"/>
      <c r="G10" s="4"/>
      <c r="H10" s="4"/>
    </row>
    <row r="11" spans="1:8" ht="15">
      <c r="A11" s="263"/>
      <c r="B11" s="264" t="s">
        <v>359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8" customHeight="1">
      <c r="A12" s="260" t="s">
        <v>227</v>
      </c>
      <c r="B12" s="264" t="s">
        <v>360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5">
      <c r="A13" s="262"/>
      <c r="B13" s="264" t="s">
        <v>356</v>
      </c>
      <c r="C13" s="4"/>
      <c r="D13" s="4"/>
      <c r="E13" s="4"/>
      <c r="F13" s="4"/>
      <c r="G13" s="4"/>
      <c r="H13" s="4"/>
    </row>
    <row r="14" spans="1:8" ht="15.75" customHeight="1">
      <c r="A14" s="263"/>
      <c r="B14" s="264" t="s">
        <v>361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30">
      <c r="A15" s="260" t="s">
        <v>239</v>
      </c>
      <c r="B15" s="264" t="s">
        <v>362</v>
      </c>
      <c r="C15" s="4">
        <v>0</v>
      </c>
      <c r="D15" s="4">
        <v>1</v>
      </c>
      <c r="E15" s="4">
        <v>0</v>
      </c>
      <c r="F15" s="4">
        <v>0</v>
      </c>
      <c r="G15" s="4">
        <v>1550</v>
      </c>
      <c r="H15" s="4">
        <v>0</v>
      </c>
    </row>
    <row r="16" spans="1:8" ht="15">
      <c r="A16" s="262"/>
      <c r="B16" s="264" t="s">
        <v>356</v>
      </c>
      <c r="C16" s="4"/>
      <c r="D16" s="4"/>
      <c r="E16" s="4"/>
      <c r="F16" s="4"/>
      <c r="G16" s="4"/>
      <c r="H16" s="4"/>
    </row>
    <row r="17" spans="1:8" ht="30">
      <c r="A17" s="263"/>
      <c r="B17" s="264" t="s">
        <v>361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</row>
    <row r="18" spans="1:8" ht="15">
      <c r="A18" s="260" t="s">
        <v>241</v>
      </c>
      <c r="B18" s="264" t="s">
        <v>363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5">
      <c r="A19" s="262"/>
      <c r="B19" s="264" t="s">
        <v>356</v>
      </c>
      <c r="C19" s="4"/>
      <c r="D19" s="4"/>
      <c r="E19" s="4"/>
      <c r="F19" s="4"/>
      <c r="G19" s="4"/>
      <c r="H19" s="4"/>
    </row>
    <row r="20" spans="1:8" ht="18" customHeight="1">
      <c r="A20" s="263"/>
      <c r="B20" s="264" t="s">
        <v>361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</row>
    <row r="21" spans="1:8" ht="15">
      <c r="A21" s="266" t="s">
        <v>152</v>
      </c>
      <c r="B21" s="264" t="s">
        <v>364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ht="15">
      <c r="B22" s="267" t="s">
        <v>644</v>
      </c>
    </row>
    <row r="23" spans="2:8" ht="26.25" customHeight="1">
      <c r="B23" s="445" t="s">
        <v>365</v>
      </c>
      <c r="C23" s="445"/>
      <c r="D23" s="445"/>
      <c r="E23" s="445"/>
      <c r="F23" s="445"/>
      <c r="G23" s="445"/>
      <c r="H23" s="445"/>
    </row>
    <row r="24" spans="2:8" ht="123.75" customHeight="1">
      <c r="B24" s="446" t="s">
        <v>366</v>
      </c>
      <c r="C24" s="446"/>
      <c r="D24" s="446"/>
      <c r="E24" s="446"/>
      <c r="F24" s="446"/>
      <c r="G24" s="446"/>
      <c r="H24" s="446"/>
    </row>
    <row r="26" spans="1:8" ht="45" customHeight="1">
      <c r="A26" s="359" t="s">
        <v>511</v>
      </c>
      <c r="B26" s="359"/>
      <c r="C26" s="359"/>
      <c r="D26" s="359"/>
      <c r="E26" s="359"/>
      <c r="F26" s="359"/>
      <c r="G26" s="359"/>
      <c r="H26" s="359"/>
    </row>
  </sheetData>
  <sheetProtection/>
  <mergeCells count="9">
    <mergeCell ref="A26:H26"/>
    <mergeCell ref="B23:H23"/>
    <mergeCell ref="B24:H24"/>
    <mergeCell ref="B1:G1"/>
    <mergeCell ref="A2:H2"/>
    <mergeCell ref="A4:A5"/>
    <mergeCell ref="B4:B5"/>
    <mergeCell ref="C4:E4"/>
    <mergeCell ref="F4:H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4"/>
  <sheetViews>
    <sheetView zoomScalePageLayoutView="0" workbookViewId="0" topLeftCell="A56">
      <selection activeCell="L65" sqref="L65"/>
    </sheetView>
  </sheetViews>
  <sheetFormatPr defaultColWidth="9.140625" defaultRowHeight="15"/>
  <cols>
    <col min="1" max="1" width="4.28125" style="0" customWidth="1"/>
    <col min="2" max="2" width="9.140625" style="0" hidden="1" customWidth="1"/>
    <col min="3" max="3" width="10.57421875" style="0" customWidth="1"/>
    <col min="4" max="4" width="17.140625" style="0" customWidth="1"/>
    <col min="5" max="5" width="7.28125" style="0" customWidth="1"/>
    <col min="6" max="6" width="20.00390625" style="0" customWidth="1"/>
    <col min="7" max="7" width="8.00390625" style="0" customWidth="1"/>
    <col min="8" max="8" width="0.2890625" style="0" customWidth="1"/>
    <col min="9" max="9" width="10.7109375" style="0" customWidth="1"/>
    <col min="10" max="10" width="10.8515625" style="0" customWidth="1"/>
    <col min="12" max="12" width="13.57421875" style="0" customWidth="1"/>
    <col min="26" max="27" width="12.7109375" style="0" customWidth="1"/>
  </cols>
  <sheetData>
    <row r="1" ht="24.75" customHeight="1" hidden="1">
      <c r="C1" s="215" t="s">
        <v>410</v>
      </c>
    </row>
    <row r="2" ht="3.75" customHeight="1" hidden="1">
      <c r="C2" s="288"/>
    </row>
    <row r="3" spans="1:26" ht="41.25" customHeight="1" hidden="1">
      <c r="A3" s="454" t="s">
        <v>319</v>
      </c>
      <c r="B3" s="454" t="s">
        <v>320</v>
      </c>
      <c r="C3" s="454" t="s">
        <v>273</v>
      </c>
      <c r="D3" s="454" t="s">
        <v>274</v>
      </c>
      <c r="E3" s="454" t="s">
        <v>275</v>
      </c>
      <c r="F3" s="454" t="s">
        <v>276</v>
      </c>
      <c r="G3" s="454" t="s">
        <v>277</v>
      </c>
      <c r="H3" s="289"/>
      <c r="I3" s="454" t="s">
        <v>411</v>
      </c>
      <c r="J3" s="451" t="s">
        <v>279</v>
      </c>
      <c r="K3" s="451" t="s">
        <v>280</v>
      </c>
      <c r="L3" s="451" t="s">
        <v>412</v>
      </c>
      <c r="M3" s="455" t="s">
        <v>282</v>
      </c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1" t="s">
        <v>413</v>
      </c>
    </row>
    <row r="4" spans="1:26" ht="15" hidden="1">
      <c r="A4" s="454"/>
      <c r="B4" s="454"/>
      <c r="C4" s="454"/>
      <c r="D4" s="454"/>
      <c r="E4" s="454"/>
      <c r="F4" s="454"/>
      <c r="G4" s="454"/>
      <c r="H4" s="289"/>
      <c r="I4" s="454"/>
      <c r="J4" s="451"/>
      <c r="K4" s="451"/>
      <c r="L4" s="451"/>
      <c r="M4" s="451" t="s">
        <v>285</v>
      </c>
      <c r="N4" s="451" t="s">
        <v>286</v>
      </c>
      <c r="O4" s="451" t="s">
        <v>287</v>
      </c>
      <c r="P4" s="452" t="s">
        <v>288</v>
      </c>
      <c r="Q4" s="452"/>
      <c r="R4" s="452"/>
      <c r="S4" s="452"/>
      <c r="T4" s="452"/>
      <c r="U4" s="451" t="s">
        <v>289</v>
      </c>
      <c r="V4" s="451" t="s">
        <v>290</v>
      </c>
      <c r="W4" s="451" t="s">
        <v>291</v>
      </c>
      <c r="X4" s="451" t="s">
        <v>292</v>
      </c>
      <c r="Y4" s="451" t="s">
        <v>293</v>
      </c>
      <c r="Z4" s="451"/>
    </row>
    <row r="5" spans="1:26" ht="55.5" customHeight="1" hidden="1">
      <c r="A5" s="454"/>
      <c r="B5" s="454"/>
      <c r="C5" s="454"/>
      <c r="D5" s="454"/>
      <c r="E5" s="454"/>
      <c r="F5" s="454"/>
      <c r="G5" s="454"/>
      <c r="H5" s="290" t="s">
        <v>294</v>
      </c>
      <c r="I5" s="454"/>
      <c r="J5" s="451"/>
      <c r="K5" s="451"/>
      <c r="L5" s="451"/>
      <c r="M5" s="451"/>
      <c r="N5" s="451"/>
      <c r="O5" s="451"/>
      <c r="P5" s="286" t="s">
        <v>295</v>
      </c>
      <c r="Q5" s="286" t="s">
        <v>414</v>
      </c>
      <c r="R5" s="286" t="s">
        <v>297</v>
      </c>
      <c r="S5" s="286" t="s">
        <v>415</v>
      </c>
      <c r="T5" s="286" t="s">
        <v>299</v>
      </c>
      <c r="U5" s="451"/>
      <c r="V5" s="451"/>
      <c r="W5" s="451"/>
      <c r="X5" s="451"/>
      <c r="Y5" s="451"/>
      <c r="Z5" s="451"/>
    </row>
    <row r="6" spans="1:9" s="292" customFormat="1" ht="27.75" customHeight="1" hidden="1">
      <c r="A6" s="291"/>
      <c r="C6" s="293" t="s">
        <v>416</v>
      </c>
      <c r="D6" s="291"/>
      <c r="E6" s="291"/>
      <c r="F6" s="291"/>
      <c r="G6" s="291"/>
      <c r="H6" s="291"/>
      <c r="I6" s="291"/>
    </row>
    <row r="7" spans="1:26" s="292" customFormat="1" ht="93" customHeight="1" hidden="1">
      <c r="A7" s="294">
        <v>1</v>
      </c>
      <c r="B7" s="134"/>
      <c r="C7" s="295">
        <v>40909</v>
      </c>
      <c r="D7" s="134" t="s">
        <v>303</v>
      </c>
      <c r="E7" s="294">
        <v>440</v>
      </c>
      <c r="F7" s="134" t="s">
        <v>417</v>
      </c>
      <c r="G7" s="134">
        <v>2012</v>
      </c>
      <c r="H7" s="134" t="s">
        <v>418</v>
      </c>
      <c r="I7" s="296" t="s">
        <v>419</v>
      </c>
      <c r="J7" s="296" t="s">
        <v>420</v>
      </c>
      <c r="K7" s="296" t="s">
        <v>421</v>
      </c>
      <c r="L7" s="296">
        <v>4061786.74</v>
      </c>
      <c r="M7" s="134">
        <v>21324.24</v>
      </c>
      <c r="N7" s="296" t="s">
        <v>422</v>
      </c>
      <c r="O7" s="134">
        <v>41122.91</v>
      </c>
      <c r="P7" s="296" t="s">
        <v>422</v>
      </c>
      <c r="Q7" s="296" t="s">
        <v>423</v>
      </c>
      <c r="R7" s="296" t="s">
        <v>422</v>
      </c>
      <c r="S7" s="296" t="s">
        <v>424</v>
      </c>
      <c r="T7" s="296" t="s">
        <v>422</v>
      </c>
      <c r="U7" s="296" t="s">
        <v>422</v>
      </c>
      <c r="V7" s="134">
        <v>7299.24</v>
      </c>
      <c r="W7" s="134">
        <v>3027.32</v>
      </c>
      <c r="X7" s="296" t="s">
        <v>422</v>
      </c>
      <c r="Y7" s="134">
        <v>3434.34</v>
      </c>
      <c r="Z7" s="134">
        <v>41122.91</v>
      </c>
    </row>
    <row r="8" spans="1:26" s="292" customFormat="1" ht="29.25" customHeight="1" hidden="1">
      <c r="A8" s="294"/>
      <c r="C8" s="297" t="s">
        <v>425</v>
      </c>
      <c r="D8" s="134"/>
      <c r="E8" s="294"/>
      <c r="F8" s="134"/>
      <c r="G8" s="134"/>
      <c r="H8" s="134"/>
      <c r="I8" s="296"/>
      <c r="J8" s="296"/>
      <c r="K8" s="296"/>
      <c r="L8" s="296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</row>
    <row r="9" spans="1:26" s="292" customFormat="1" ht="37.5" customHeight="1" hidden="1">
      <c r="A9" s="294">
        <v>1</v>
      </c>
      <c r="B9" s="134"/>
      <c r="C9" s="295">
        <v>41366</v>
      </c>
      <c r="D9" s="134" t="s">
        <v>426</v>
      </c>
      <c r="E9" s="294">
        <v>6000</v>
      </c>
      <c r="F9" s="134" t="s">
        <v>427</v>
      </c>
      <c r="G9" s="134">
        <v>2013</v>
      </c>
      <c r="H9" s="134">
        <v>0</v>
      </c>
      <c r="I9" s="296" t="s">
        <v>419</v>
      </c>
      <c r="J9" s="296" t="s">
        <v>420</v>
      </c>
      <c r="K9" s="296" t="s">
        <v>421</v>
      </c>
      <c r="L9" s="296" t="s">
        <v>428</v>
      </c>
      <c r="M9" s="296" t="s">
        <v>429</v>
      </c>
      <c r="N9" s="296" t="s">
        <v>430</v>
      </c>
      <c r="O9" s="296" t="s">
        <v>429</v>
      </c>
      <c r="P9" s="296" t="s">
        <v>422</v>
      </c>
      <c r="Q9" s="296" t="s">
        <v>431</v>
      </c>
      <c r="R9" s="296" t="s">
        <v>422</v>
      </c>
      <c r="S9" s="296" t="s">
        <v>432</v>
      </c>
      <c r="T9" s="296" t="s">
        <v>422</v>
      </c>
      <c r="U9" s="296" t="s">
        <v>433</v>
      </c>
      <c r="V9" s="296" t="s">
        <v>429</v>
      </c>
      <c r="W9" s="296" t="s">
        <v>429</v>
      </c>
      <c r="X9" s="296" t="s">
        <v>430</v>
      </c>
      <c r="Y9" s="296" t="s">
        <v>429</v>
      </c>
      <c r="Z9" s="134">
        <v>11848780.68</v>
      </c>
    </row>
    <row r="10" spans="1:26" s="292" customFormat="1" ht="30.75" customHeight="1" hidden="1">
      <c r="A10" s="298"/>
      <c r="C10" s="299" t="s">
        <v>434</v>
      </c>
      <c r="D10" s="300"/>
      <c r="E10" s="298"/>
      <c r="F10" s="300"/>
      <c r="G10" s="300"/>
      <c r="H10" s="300"/>
      <c r="I10" s="301"/>
      <c r="J10" s="301"/>
      <c r="K10" s="301"/>
      <c r="L10" s="301"/>
      <c r="M10" s="300"/>
      <c r="N10" s="300"/>
      <c r="O10" s="300"/>
      <c r="P10" s="300"/>
      <c r="Q10" s="302"/>
      <c r="R10" s="300"/>
      <c r="S10" s="300"/>
      <c r="T10" s="300"/>
      <c r="U10" s="300"/>
      <c r="V10" s="300"/>
      <c r="W10" s="300"/>
      <c r="X10" s="300"/>
      <c r="Y10" s="300"/>
      <c r="Z10" s="300"/>
    </row>
    <row r="11" spans="1:26" s="292" customFormat="1" ht="24.75" customHeight="1" hidden="1">
      <c r="A11" s="294">
        <v>1</v>
      </c>
      <c r="B11" s="134"/>
      <c r="C11" s="295">
        <v>41471</v>
      </c>
      <c r="D11" s="134" t="s">
        <v>435</v>
      </c>
      <c r="E11" s="294">
        <v>880</v>
      </c>
      <c r="F11" s="134" t="s">
        <v>185</v>
      </c>
      <c r="G11" s="134">
        <v>2014</v>
      </c>
      <c r="H11" s="134"/>
      <c r="I11" s="296" t="s">
        <v>436</v>
      </c>
      <c r="J11" s="296" t="s">
        <v>302</v>
      </c>
      <c r="K11" s="296" t="s">
        <v>437</v>
      </c>
      <c r="L11" s="296" t="s">
        <v>428</v>
      </c>
      <c r="M11" s="134">
        <v>11975.146597117333</v>
      </c>
      <c r="N11" s="134"/>
      <c r="O11" s="134"/>
      <c r="P11" s="134"/>
      <c r="Q11" s="134"/>
      <c r="R11" s="134"/>
      <c r="S11" s="134"/>
      <c r="T11" s="134"/>
      <c r="U11" s="134"/>
      <c r="V11" s="134">
        <v>4099.066088523798</v>
      </c>
      <c r="W11" s="134"/>
      <c r="X11" s="134"/>
      <c r="Y11" s="134">
        <v>1928.6373143588676</v>
      </c>
      <c r="Z11" s="303">
        <v>1004428.0964102563</v>
      </c>
    </row>
    <row r="12" spans="1:26" s="292" customFormat="1" ht="24" customHeight="1" hidden="1">
      <c r="A12" s="294">
        <v>2</v>
      </c>
      <c r="B12" s="134"/>
      <c r="C12" s="295">
        <v>41474</v>
      </c>
      <c r="D12" s="134" t="s">
        <v>438</v>
      </c>
      <c r="E12" s="294">
        <v>290</v>
      </c>
      <c r="F12" s="134" t="s">
        <v>185</v>
      </c>
      <c r="G12" s="134">
        <v>2014</v>
      </c>
      <c r="H12" s="134"/>
      <c r="I12" s="296" t="s">
        <v>439</v>
      </c>
      <c r="J12" s="296" t="s">
        <v>420</v>
      </c>
      <c r="K12" s="296" t="s">
        <v>437</v>
      </c>
      <c r="L12" s="296" t="s">
        <v>428</v>
      </c>
      <c r="M12" s="134">
        <v>6904.501476819072</v>
      </c>
      <c r="N12" s="134"/>
      <c r="O12" s="134"/>
      <c r="P12" s="134"/>
      <c r="Q12" s="134"/>
      <c r="R12" s="134"/>
      <c r="S12" s="134"/>
      <c r="T12" s="134"/>
      <c r="U12" s="134"/>
      <c r="V12" s="134">
        <v>2363.395523575838</v>
      </c>
      <c r="W12" s="134"/>
      <c r="X12" s="134"/>
      <c r="Y12" s="134">
        <v>1111.9929996050885</v>
      </c>
      <c r="Z12" s="134">
        <v>331004.7135897436</v>
      </c>
    </row>
    <row r="13" spans="1:26" s="305" customFormat="1" ht="30" customHeight="1" hidden="1">
      <c r="A13" s="294">
        <v>5</v>
      </c>
      <c r="B13" s="304"/>
      <c r="C13" s="295"/>
      <c r="D13" s="134" t="s">
        <v>440</v>
      </c>
      <c r="E13" s="294">
        <v>400</v>
      </c>
      <c r="F13" s="134" t="s">
        <v>185</v>
      </c>
      <c r="G13" s="134">
        <v>2014</v>
      </c>
      <c r="H13" s="304"/>
      <c r="I13" s="296" t="s">
        <v>439</v>
      </c>
      <c r="J13" s="296" t="s">
        <v>420</v>
      </c>
      <c r="K13" s="296" t="s">
        <v>437</v>
      </c>
      <c r="L13" s="296" t="s">
        <v>428</v>
      </c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304"/>
    </row>
    <row r="14" s="305" customFormat="1" ht="15" hidden="1"/>
    <row r="15" spans="1:26" s="292" customFormat="1" ht="31.5" customHeight="1" hidden="1">
      <c r="A15" s="298"/>
      <c r="C15" s="299" t="s">
        <v>441</v>
      </c>
      <c r="D15" s="300"/>
      <c r="E15" s="298"/>
      <c r="F15" s="300"/>
      <c r="G15" s="300"/>
      <c r="H15" s="300"/>
      <c r="I15" s="301"/>
      <c r="J15" s="301"/>
      <c r="K15" s="301"/>
      <c r="L15" s="301"/>
      <c r="M15" s="300"/>
      <c r="N15" s="300"/>
      <c r="O15" s="300"/>
      <c r="P15" s="300"/>
      <c r="Q15" s="302"/>
      <c r="R15" s="300"/>
      <c r="S15" s="300"/>
      <c r="T15" s="300"/>
      <c r="U15" s="300"/>
      <c r="V15" s="300"/>
      <c r="W15" s="300"/>
      <c r="X15" s="300"/>
      <c r="Y15" s="300"/>
      <c r="Z15" s="300"/>
    </row>
    <row r="16" spans="1:26" s="306" customFormat="1" ht="24.75" customHeight="1" hidden="1">
      <c r="A16" s="294">
        <v>1</v>
      </c>
      <c r="B16" s="134" t="s">
        <v>442</v>
      </c>
      <c r="C16" s="295">
        <v>41627</v>
      </c>
      <c r="D16" s="134" t="s">
        <v>443</v>
      </c>
      <c r="E16" s="294">
        <v>249.48</v>
      </c>
      <c r="F16" s="134" t="s">
        <v>444</v>
      </c>
      <c r="G16" s="134">
        <v>2015</v>
      </c>
      <c r="H16" s="134">
        <v>0</v>
      </c>
      <c r="I16" s="296" t="s">
        <v>439</v>
      </c>
      <c r="J16" s="296" t="s">
        <v>302</v>
      </c>
      <c r="K16" s="296"/>
      <c r="L16" s="296" t="s">
        <v>428</v>
      </c>
      <c r="M16" s="134"/>
      <c r="N16" s="134">
        <v>71034.4404</v>
      </c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s="305" customFormat="1" ht="25.5" customHeight="1" hidden="1">
      <c r="A17" s="294">
        <v>7</v>
      </c>
      <c r="B17" s="134" t="s">
        <v>445</v>
      </c>
      <c r="C17" s="295">
        <v>42244</v>
      </c>
      <c r="D17" s="134" t="s">
        <v>446</v>
      </c>
      <c r="E17" s="294">
        <v>150</v>
      </c>
      <c r="F17" s="134" t="s">
        <v>185</v>
      </c>
      <c r="G17" s="134">
        <v>2015</v>
      </c>
      <c r="H17" s="304"/>
      <c r="I17" s="296" t="s">
        <v>447</v>
      </c>
      <c r="J17" s="296" t="s">
        <v>420</v>
      </c>
      <c r="K17" s="296" t="s">
        <v>448</v>
      </c>
      <c r="L17" s="296" t="s">
        <v>428</v>
      </c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304"/>
    </row>
    <row r="18" spans="1:26" s="305" customFormat="1" ht="39.75" customHeight="1" hidden="1">
      <c r="A18" s="294">
        <v>3</v>
      </c>
      <c r="B18" s="134"/>
      <c r="C18" s="295">
        <v>42139</v>
      </c>
      <c r="D18" s="134" t="s">
        <v>449</v>
      </c>
      <c r="E18" s="294">
        <v>15</v>
      </c>
      <c r="F18" s="134" t="s">
        <v>450</v>
      </c>
      <c r="G18" s="134">
        <v>2015</v>
      </c>
      <c r="H18" s="304"/>
      <c r="I18" s="296" t="s">
        <v>321</v>
      </c>
      <c r="J18" s="296" t="s">
        <v>451</v>
      </c>
      <c r="K18" s="296" t="s">
        <v>437</v>
      </c>
      <c r="L18" s="296">
        <v>466.1</v>
      </c>
      <c r="M18" s="134">
        <v>41.85</v>
      </c>
      <c r="N18" s="134">
        <v>0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0</v>
      </c>
      <c r="V18" s="134">
        <v>56.7</v>
      </c>
      <c r="W18" s="134">
        <v>0</v>
      </c>
      <c r="X18" s="134">
        <v>0</v>
      </c>
      <c r="Y18" s="134">
        <v>40.2</v>
      </c>
      <c r="Z18" s="304"/>
    </row>
    <row r="19" spans="1:26" s="305" customFormat="1" ht="25.5" customHeight="1" hidden="1">
      <c r="A19" s="294">
        <v>4</v>
      </c>
      <c r="B19" s="134" t="s">
        <v>452</v>
      </c>
      <c r="C19" s="295">
        <v>42241</v>
      </c>
      <c r="D19" s="134" t="s">
        <v>303</v>
      </c>
      <c r="E19" s="294">
        <v>400</v>
      </c>
      <c r="F19" s="134" t="s">
        <v>453</v>
      </c>
      <c r="G19" s="134">
        <v>2015</v>
      </c>
      <c r="H19" s="304"/>
      <c r="I19" s="296" t="s">
        <v>321</v>
      </c>
      <c r="J19" s="296" t="s">
        <v>420</v>
      </c>
      <c r="K19" s="296" t="s">
        <v>437</v>
      </c>
      <c r="L19" s="296">
        <v>3948</v>
      </c>
      <c r="M19" s="134">
        <v>1116</v>
      </c>
      <c r="N19" s="134">
        <v>0</v>
      </c>
      <c r="O19" s="134">
        <v>0</v>
      </c>
      <c r="P19" s="134">
        <v>0</v>
      </c>
      <c r="Q19" s="134">
        <v>0</v>
      </c>
      <c r="R19" s="134">
        <v>0</v>
      </c>
      <c r="S19" s="134">
        <v>0</v>
      </c>
      <c r="T19" s="134">
        <v>0</v>
      </c>
      <c r="U19" s="134">
        <v>0</v>
      </c>
      <c r="V19" s="134">
        <v>1512</v>
      </c>
      <c r="W19" s="134">
        <v>248</v>
      </c>
      <c r="X19" s="134">
        <v>0</v>
      </c>
      <c r="Y19" s="134">
        <v>1072</v>
      </c>
      <c r="Z19" s="304"/>
    </row>
    <row r="20" spans="1:26" s="292" customFormat="1" ht="31.5" customHeight="1" hidden="1">
      <c r="A20" s="298"/>
      <c r="C20" s="299" t="s">
        <v>454</v>
      </c>
      <c r="D20" s="300"/>
      <c r="E20" s="298"/>
      <c r="F20" s="300"/>
      <c r="G20" s="300"/>
      <c r="H20" s="300"/>
      <c r="I20" s="301"/>
      <c r="J20" s="301"/>
      <c r="K20" s="301"/>
      <c r="L20" s="301"/>
      <c r="M20" s="300"/>
      <c r="N20" s="300"/>
      <c r="O20" s="300"/>
      <c r="P20" s="300"/>
      <c r="Q20" s="302"/>
      <c r="R20" s="300"/>
      <c r="S20" s="300"/>
      <c r="T20" s="300"/>
      <c r="U20" s="300"/>
      <c r="V20" s="300"/>
      <c r="W20" s="300"/>
      <c r="X20" s="300"/>
      <c r="Y20" s="300"/>
      <c r="Z20" s="300"/>
    </row>
    <row r="21" spans="1:26" s="305" customFormat="1" ht="25.5" customHeight="1" hidden="1">
      <c r="A21" s="294">
        <v>1</v>
      </c>
      <c r="B21" s="134" t="s">
        <v>452</v>
      </c>
      <c r="C21" s="295">
        <v>42241</v>
      </c>
      <c r="D21" s="134" t="s">
        <v>303</v>
      </c>
      <c r="E21" s="294">
        <v>400</v>
      </c>
      <c r="F21" s="134" t="s">
        <v>453</v>
      </c>
      <c r="G21" s="134">
        <v>2016</v>
      </c>
      <c r="H21" s="304"/>
      <c r="I21" s="296" t="s">
        <v>321</v>
      </c>
      <c r="J21" s="296" t="s">
        <v>420</v>
      </c>
      <c r="K21" s="296" t="s">
        <v>437</v>
      </c>
      <c r="L21" s="296">
        <v>3948</v>
      </c>
      <c r="M21" s="134">
        <v>1116</v>
      </c>
      <c r="N21" s="134">
        <v>0</v>
      </c>
      <c r="O21" s="134">
        <v>0</v>
      </c>
      <c r="P21" s="134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v>1512</v>
      </c>
      <c r="W21" s="134">
        <v>248</v>
      </c>
      <c r="X21" s="134">
        <v>0</v>
      </c>
      <c r="Y21" s="134">
        <v>1072</v>
      </c>
      <c r="Z21" s="304"/>
    </row>
    <row r="22" spans="1:26" s="305" customFormat="1" ht="25.5" customHeight="1" hidden="1">
      <c r="A22" s="294">
        <v>2</v>
      </c>
      <c r="B22" s="134"/>
      <c r="C22" s="295">
        <v>42354</v>
      </c>
      <c r="D22" s="134" t="s">
        <v>303</v>
      </c>
      <c r="E22" s="294">
        <v>1600</v>
      </c>
      <c r="F22" s="134" t="s">
        <v>455</v>
      </c>
      <c r="G22" s="134">
        <v>2016</v>
      </c>
      <c r="H22" s="304"/>
      <c r="I22" s="296" t="s">
        <v>321</v>
      </c>
      <c r="J22" s="296" t="s">
        <v>420</v>
      </c>
      <c r="K22" s="296" t="s">
        <v>437</v>
      </c>
      <c r="L22" s="296">
        <v>15792.000000000002</v>
      </c>
      <c r="M22" s="134">
        <v>4464</v>
      </c>
      <c r="N22" s="134">
        <v>0</v>
      </c>
      <c r="O22" s="134">
        <v>0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v>6048</v>
      </c>
      <c r="W22" s="134">
        <v>992</v>
      </c>
      <c r="X22" s="134">
        <v>0</v>
      </c>
      <c r="Y22" s="134">
        <v>4288</v>
      </c>
      <c r="Z22" s="304"/>
    </row>
    <row r="23" spans="1:26" s="305" customFormat="1" ht="25.5" customHeight="1" hidden="1">
      <c r="A23" s="294">
        <v>3</v>
      </c>
      <c r="B23" s="134"/>
      <c r="C23" s="295">
        <v>42479</v>
      </c>
      <c r="D23" s="134" t="s">
        <v>456</v>
      </c>
      <c r="E23" s="294">
        <v>100</v>
      </c>
      <c r="F23" s="134" t="s">
        <v>457</v>
      </c>
      <c r="G23" s="134">
        <v>2016</v>
      </c>
      <c r="H23" s="304"/>
      <c r="I23" s="296" t="s">
        <v>321</v>
      </c>
      <c r="J23" s="296" t="s">
        <v>420</v>
      </c>
      <c r="K23" s="296" t="s">
        <v>437</v>
      </c>
      <c r="L23" s="134">
        <v>2535</v>
      </c>
      <c r="M23" s="134">
        <v>675</v>
      </c>
      <c r="N23" s="134">
        <v>0</v>
      </c>
      <c r="O23" s="134">
        <v>0</v>
      </c>
      <c r="P23" s="134">
        <v>0</v>
      </c>
      <c r="Q23" s="134">
        <v>0</v>
      </c>
      <c r="R23" s="134">
        <v>0</v>
      </c>
      <c r="S23" s="134">
        <v>0</v>
      </c>
      <c r="T23" s="134">
        <v>0</v>
      </c>
      <c r="U23" s="134">
        <v>0</v>
      </c>
      <c r="V23" s="134">
        <v>1046</v>
      </c>
      <c r="W23" s="134">
        <v>148</v>
      </c>
      <c r="X23" s="134">
        <v>0</v>
      </c>
      <c r="Y23" s="134">
        <v>666</v>
      </c>
      <c r="Z23" s="304"/>
    </row>
    <row r="24" spans="1:27" s="292" customFormat="1" ht="25.5" customHeight="1" hidden="1">
      <c r="A24" s="294">
        <v>4</v>
      </c>
      <c r="B24" s="134" t="s">
        <v>458</v>
      </c>
      <c r="C24" s="295">
        <v>42156</v>
      </c>
      <c r="D24" s="134" t="s">
        <v>303</v>
      </c>
      <c r="E24" s="294">
        <v>881</v>
      </c>
      <c r="F24" s="134" t="s">
        <v>459</v>
      </c>
      <c r="G24" s="134">
        <v>2016</v>
      </c>
      <c r="H24" s="134"/>
      <c r="I24" s="296" t="s">
        <v>321</v>
      </c>
      <c r="J24" s="296" t="s">
        <v>460</v>
      </c>
      <c r="K24" s="296" t="s">
        <v>437</v>
      </c>
      <c r="L24" s="134">
        <v>8695.470000000001</v>
      </c>
      <c r="M24" s="134">
        <v>2457.99</v>
      </c>
      <c r="N24" s="134">
        <v>0</v>
      </c>
      <c r="O24" s="134">
        <v>0</v>
      </c>
      <c r="P24" s="134">
        <v>0</v>
      </c>
      <c r="Q24" s="134">
        <v>0</v>
      </c>
      <c r="R24" s="134">
        <v>0</v>
      </c>
      <c r="S24" s="134">
        <v>0</v>
      </c>
      <c r="T24" s="134">
        <v>0</v>
      </c>
      <c r="U24" s="134">
        <v>0</v>
      </c>
      <c r="V24" s="134">
        <v>3330.18</v>
      </c>
      <c r="W24" s="134">
        <v>546.22</v>
      </c>
      <c r="X24" s="134">
        <v>0</v>
      </c>
      <c r="Y24" s="134">
        <v>2361.08</v>
      </c>
      <c r="Z24" s="134"/>
      <c r="AA24" s="307"/>
    </row>
    <row r="25" spans="1:27" s="292" customFormat="1" ht="31.5" customHeight="1" hidden="1">
      <c r="A25" s="294">
        <v>3</v>
      </c>
      <c r="B25" s="134" t="s">
        <v>458</v>
      </c>
      <c r="C25" s="295">
        <v>42327</v>
      </c>
      <c r="D25" s="134" t="s">
        <v>303</v>
      </c>
      <c r="E25" s="294">
        <v>1250</v>
      </c>
      <c r="F25" s="134" t="s">
        <v>417</v>
      </c>
      <c r="G25" s="134">
        <v>2018</v>
      </c>
      <c r="H25" s="134"/>
      <c r="I25" s="296" t="s">
        <v>300</v>
      </c>
      <c r="J25" s="296" t="s">
        <v>420</v>
      </c>
      <c r="K25" s="296" t="s">
        <v>437</v>
      </c>
      <c r="L25" s="134">
        <v>12337.5</v>
      </c>
      <c r="M25" s="134">
        <v>3487.5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4725</v>
      </c>
      <c r="W25" s="134">
        <v>775</v>
      </c>
      <c r="X25" s="134">
        <v>0</v>
      </c>
      <c r="Y25" s="134">
        <v>3350</v>
      </c>
      <c r="Z25" s="134"/>
      <c r="AA25" s="307">
        <v>0</v>
      </c>
    </row>
    <row r="26" spans="1:27" s="292" customFormat="1" ht="34.5" customHeight="1" hidden="1">
      <c r="A26" s="294">
        <v>5</v>
      </c>
      <c r="B26" s="134"/>
      <c r="C26" s="295">
        <v>42591</v>
      </c>
      <c r="D26" s="134" t="s">
        <v>461</v>
      </c>
      <c r="E26" s="294">
        <v>5</v>
      </c>
      <c r="F26" s="134" t="s">
        <v>462</v>
      </c>
      <c r="G26" s="134">
        <v>2016</v>
      </c>
      <c r="H26" s="134"/>
      <c r="I26" s="296" t="s">
        <v>321</v>
      </c>
      <c r="J26" s="296" t="s">
        <v>420</v>
      </c>
      <c r="K26" s="296" t="s">
        <v>463</v>
      </c>
      <c r="L26" s="296">
        <v>466.1</v>
      </c>
      <c r="M26" s="134">
        <v>41.85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56.7</v>
      </c>
      <c r="W26" s="134">
        <v>0</v>
      </c>
      <c r="X26" s="134">
        <v>0</v>
      </c>
      <c r="Y26" s="134">
        <v>40.2</v>
      </c>
      <c r="Z26" s="134"/>
      <c r="AA26" s="307"/>
    </row>
    <row r="27" spans="1:27" s="292" customFormat="1" ht="34.5" customHeight="1" hidden="1">
      <c r="A27" s="294">
        <v>6</v>
      </c>
      <c r="B27" s="134"/>
      <c r="C27" s="295">
        <v>42655</v>
      </c>
      <c r="D27" s="134" t="s">
        <v>464</v>
      </c>
      <c r="E27" s="294">
        <v>15</v>
      </c>
      <c r="F27" s="134" t="s">
        <v>465</v>
      </c>
      <c r="G27" s="134">
        <v>2016</v>
      </c>
      <c r="H27" s="134"/>
      <c r="I27" s="296" t="s">
        <v>321</v>
      </c>
      <c r="J27" s="296" t="s">
        <v>420</v>
      </c>
      <c r="K27" s="296" t="s">
        <v>466</v>
      </c>
      <c r="L27" s="296">
        <v>466.1</v>
      </c>
      <c r="M27" s="134">
        <v>41.85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56.7</v>
      </c>
      <c r="W27" s="134">
        <v>0</v>
      </c>
      <c r="X27" s="134">
        <v>0</v>
      </c>
      <c r="Y27" s="134">
        <v>40.2</v>
      </c>
      <c r="Z27" s="134"/>
      <c r="AA27" s="307"/>
    </row>
    <row r="28" spans="1:26" s="292" customFormat="1" ht="26.25" customHeight="1" hidden="1">
      <c r="A28" s="298"/>
      <c r="C28" s="299" t="s">
        <v>467</v>
      </c>
      <c r="D28" s="300"/>
      <c r="E28" s="298"/>
      <c r="F28" s="300"/>
      <c r="G28" s="300"/>
      <c r="H28" s="300"/>
      <c r="I28" s="301"/>
      <c r="J28" s="301"/>
      <c r="K28" s="301"/>
      <c r="L28" s="301"/>
      <c r="M28" s="300"/>
      <c r="N28" s="300"/>
      <c r="O28" s="300"/>
      <c r="P28" s="300"/>
      <c r="Q28" s="302"/>
      <c r="R28" s="300"/>
      <c r="S28" s="300"/>
      <c r="T28" s="300"/>
      <c r="U28" s="300"/>
      <c r="V28" s="300"/>
      <c r="W28" s="300"/>
      <c r="X28" s="300"/>
      <c r="Y28" s="300"/>
      <c r="Z28" s="300"/>
    </row>
    <row r="29" ht="3.75" customHeight="1" hidden="1">
      <c r="C29" s="288"/>
    </row>
    <row r="30" spans="1:27" ht="41.25" customHeight="1" hidden="1">
      <c r="A30" s="451" t="s">
        <v>319</v>
      </c>
      <c r="B30" s="451" t="s">
        <v>320</v>
      </c>
      <c r="C30" s="451" t="s">
        <v>273</v>
      </c>
      <c r="D30" s="451" t="s">
        <v>274</v>
      </c>
      <c r="E30" s="451" t="s">
        <v>275</v>
      </c>
      <c r="F30" s="451" t="s">
        <v>276</v>
      </c>
      <c r="G30" s="451" t="s">
        <v>277</v>
      </c>
      <c r="H30" s="216"/>
      <c r="I30" s="451" t="s">
        <v>278</v>
      </c>
      <c r="J30" s="451" t="s">
        <v>279</v>
      </c>
      <c r="K30" s="451" t="s">
        <v>280</v>
      </c>
      <c r="L30" s="451" t="s">
        <v>281</v>
      </c>
      <c r="M30" s="453" t="s">
        <v>282</v>
      </c>
      <c r="N30" s="453"/>
      <c r="O30" s="453"/>
      <c r="P30" s="453"/>
      <c r="Q30" s="453"/>
      <c r="R30" s="453"/>
      <c r="S30" s="453"/>
      <c r="T30" s="453"/>
      <c r="U30" s="453"/>
      <c r="V30" s="453"/>
      <c r="W30" s="453"/>
      <c r="X30" s="453"/>
      <c r="Y30" s="453"/>
      <c r="Z30" s="451" t="s">
        <v>283</v>
      </c>
      <c r="AA30" s="451" t="s">
        <v>284</v>
      </c>
    </row>
    <row r="31" spans="1:27" ht="15" hidden="1">
      <c r="A31" s="451"/>
      <c r="B31" s="451"/>
      <c r="C31" s="451"/>
      <c r="D31" s="451"/>
      <c r="E31" s="451"/>
      <c r="F31" s="451"/>
      <c r="G31" s="451"/>
      <c r="H31" s="216"/>
      <c r="I31" s="451"/>
      <c r="J31" s="451"/>
      <c r="K31" s="451"/>
      <c r="L31" s="451"/>
      <c r="M31" s="451" t="s">
        <v>285</v>
      </c>
      <c r="N31" s="451" t="s">
        <v>286</v>
      </c>
      <c r="O31" s="451" t="s">
        <v>287</v>
      </c>
      <c r="P31" s="452" t="s">
        <v>288</v>
      </c>
      <c r="Q31" s="452"/>
      <c r="R31" s="452"/>
      <c r="S31" s="452"/>
      <c r="T31" s="452"/>
      <c r="U31" s="451" t="s">
        <v>289</v>
      </c>
      <c r="V31" s="451" t="s">
        <v>290</v>
      </c>
      <c r="W31" s="451" t="s">
        <v>291</v>
      </c>
      <c r="X31" s="451" t="s">
        <v>292</v>
      </c>
      <c r="Y31" s="451" t="s">
        <v>293</v>
      </c>
      <c r="Z31" s="451"/>
      <c r="AA31" s="451"/>
    </row>
    <row r="32" spans="1:27" ht="84.75" customHeight="1" hidden="1">
      <c r="A32" s="451"/>
      <c r="B32" s="451"/>
      <c r="C32" s="451"/>
      <c r="D32" s="451"/>
      <c r="E32" s="451"/>
      <c r="F32" s="451"/>
      <c r="G32" s="451"/>
      <c r="H32" s="286" t="s">
        <v>294</v>
      </c>
      <c r="I32" s="451"/>
      <c r="J32" s="451"/>
      <c r="K32" s="451"/>
      <c r="L32" s="451"/>
      <c r="M32" s="451"/>
      <c r="N32" s="451"/>
      <c r="O32" s="451"/>
      <c r="P32" s="286" t="s">
        <v>295</v>
      </c>
      <c r="Q32" s="286" t="s">
        <v>296</v>
      </c>
      <c r="R32" s="286" t="s">
        <v>297</v>
      </c>
      <c r="S32" s="286" t="s">
        <v>298</v>
      </c>
      <c r="T32" s="286" t="s">
        <v>299</v>
      </c>
      <c r="U32" s="451"/>
      <c r="V32" s="451"/>
      <c r="W32" s="451"/>
      <c r="X32" s="451"/>
      <c r="Y32" s="451"/>
      <c r="Z32" s="451"/>
      <c r="AA32" s="451"/>
    </row>
    <row r="33" spans="1:27" s="292" customFormat="1" ht="19.5" customHeight="1" hidden="1">
      <c r="A33" s="294">
        <v>1</v>
      </c>
      <c r="B33" s="134" t="s">
        <v>468</v>
      </c>
      <c r="C33" s="295">
        <v>42205</v>
      </c>
      <c r="D33" s="134" t="s">
        <v>443</v>
      </c>
      <c r="E33" s="294">
        <v>346.5</v>
      </c>
      <c r="F33" s="134" t="s">
        <v>469</v>
      </c>
      <c r="G33" s="134">
        <v>2017</v>
      </c>
      <c r="H33" s="134"/>
      <c r="I33" s="296" t="s">
        <v>300</v>
      </c>
      <c r="J33" s="296" t="s">
        <v>302</v>
      </c>
      <c r="K33" s="296" t="s">
        <v>437</v>
      </c>
      <c r="L33" s="134">
        <v>3419.96</v>
      </c>
      <c r="M33" s="134">
        <v>966.74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1309.77</v>
      </c>
      <c r="W33" s="134">
        <v>214.83</v>
      </c>
      <c r="X33" s="134">
        <v>0</v>
      </c>
      <c r="Y33" s="134">
        <v>928.62</v>
      </c>
      <c r="Z33" s="134"/>
      <c r="AA33" s="307">
        <v>0</v>
      </c>
    </row>
    <row r="34" spans="1:26" s="305" customFormat="1" ht="19.5" customHeight="1" hidden="1">
      <c r="A34" s="294">
        <v>2</v>
      </c>
      <c r="B34" s="134" t="s">
        <v>470</v>
      </c>
      <c r="C34" s="295">
        <v>42087</v>
      </c>
      <c r="D34" s="134" t="s">
        <v>443</v>
      </c>
      <c r="E34" s="294">
        <v>105</v>
      </c>
      <c r="F34" s="134" t="s">
        <v>471</v>
      </c>
      <c r="G34" s="134">
        <v>2015</v>
      </c>
      <c r="H34" s="304"/>
      <c r="I34" s="296" t="s">
        <v>321</v>
      </c>
      <c r="J34" s="296" t="s">
        <v>302</v>
      </c>
      <c r="K34" s="296" t="s">
        <v>437</v>
      </c>
      <c r="L34" s="296">
        <v>971.2499999999999</v>
      </c>
      <c r="M34" s="134">
        <v>292.95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396.9</v>
      </c>
      <c r="W34" s="134">
        <v>0</v>
      </c>
      <c r="X34" s="134">
        <v>0</v>
      </c>
      <c r="Y34" s="134">
        <v>281.4</v>
      </c>
      <c r="Z34" s="304"/>
    </row>
    <row r="35" spans="1:27" s="292" customFormat="1" ht="19.5" customHeight="1" hidden="1">
      <c r="A35" s="308">
        <v>6</v>
      </c>
      <c r="B35" s="305"/>
      <c r="C35" s="295">
        <v>42339</v>
      </c>
      <c r="D35" s="134" t="s">
        <v>443</v>
      </c>
      <c r="E35" s="294">
        <v>105</v>
      </c>
      <c r="F35" s="134" t="s">
        <v>472</v>
      </c>
      <c r="G35" s="134">
        <v>2017</v>
      </c>
      <c r="H35" s="305"/>
      <c r="I35" s="296" t="s">
        <v>300</v>
      </c>
      <c r="J35" s="296" t="s">
        <v>302</v>
      </c>
      <c r="K35" s="296" t="s">
        <v>473</v>
      </c>
      <c r="L35" s="134">
        <v>971.2499999999999</v>
      </c>
      <c r="M35" s="134">
        <v>292.95</v>
      </c>
      <c r="N35" s="134">
        <v>0</v>
      </c>
      <c r="O35" s="134">
        <v>0</v>
      </c>
      <c r="P35" s="134">
        <v>0</v>
      </c>
      <c r="Q35" s="134">
        <v>0</v>
      </c>
      <c r="R35" s="134">
        <v>0</v>
      </c>
      <c r="S35" s="134">
        <v>0</v>
      </c>
      <c r="T35" s="134">
        <v>0</v>
      </c>
      <c r="U35" s="134">
        <v>0</v>
      </c>
      <c r="V35" s="134">
        <v>396.9</v>
      </c>
      <c r="W35" s="134">
        <v>0</v>
      </c>
      <c r="X35" s="134">
        <v>0</v>
      </c>
      <c r="Y35" s="134">
        <v>281.4</v>
      </c>
      <c r="Z35" s="134"/>
      <c r="AA35" s="307">
        <v>0</v>
      </c>
    </row>
    <row r="36" spans="1:27" s="305" customFormat="1" ht="36.75" customHeight="1" hidden="1">
      <c r="A36" s="294">
        <v>7</v>
      </c>
      <c r="C36" s="295">
        <v>42548</v>
      </c>
      <c r="D36" s="134" t="s">
        <v>474</v>
      </c>
      <c r="E36" s="294">
        <v>50</v>
      </c>
      <c r="F36" s="296" t="s">
        <v>475</v>
      </c>
      <c r="G36" s="134">
        <v>2017</v>
      </c>
      <c r="I36" s="296" t="s">
        <v>300</v>
      </c>
      <c r="J36" s="296" t="s">
        <v>302</v>
      </c>
      <c r="K36" s="296" t="s">
        <v>473</v>
      </c>
      <c r="L36" s="134">
        <v>1193.5</v>
      </c>
      <c r="M36" s="134">
        <v>337.5</v>
      </c>
      <c r="N36" s="134">
        <v>0</v>
      </c>
      <c r="O36" s="134">
        <v>0</v>
      </c>
      <c r="P36" s="134">
        <v>0</v>
      </c>
      <c r="Q36" s="134">
        <v>0</v>
      </c>
      <c r="R36" s="134">
        <v>0</v>
      </c>
      <c r="S36" s="134">
        <v>0</v>
      </c>
      <c r="T36" s="134">
        <v>0</v>
      </c>
      <c r="U36" s="134">
        <v>0</v>
      </c>
      <c r="V36" s="134">
        <v>523</v>
      </c>
      <c r="W36" s="134">
        <v>0</v>
      </c>
      <c r="X36" s="134">
        <v>0</v>
      </c>
      <c r="Y36" s="134">
        <v>333</v>
      </c>
      <c r="Z36" s="134"/>
      <c r="AA36" s="307">
        <v>0</v>
      </c>
    </row>
    <row r="37" spans="1:27" s="305" customFormat="1" ht="31.5" customHeight="1" hidden="1">
      <c r="A37" s="308">
        <v>8</v>
      </c>
      <c r="C37" s="295">
        <v>42591</v>
      </c>
      <c r="D37" s="134" t="s">
        <v>476</v>
      </c>
      <c r="E37" s="294">
        <v>5</v>
      </c>
      <c r="F37" s="134" t="s">
        <v>462</v>
      </c>
      <c r="G37" s="134">
        <v>2017</v>
      </c>
      <c r="I37" s="296" t="s">
        <v>300</v>
      </c>
      <c r="J37" s="296" t="s">
        <v>420</v>
      </c>
      <c r="K37" s="296" t="s">
        <v>473</v>
      </c>
      <c r="L37" s="296">
        <v>466.1</v>
      </c>
      <c r="M37" s="134">
        <v>41.85</v>
      </c>
      <c r="N37" s="134">
        <v>0</v>
      </c>
      <c r="O37" s="134">
        <v>0</v>
      </c>
      <c r="P37" s="134">
        <v>0</v>
      </c>
      <c r="Q37" s="134">
        <v>0</v>
      </c>
      <c r="R37" s="134">
        <v>0</v>
      </c>
      <c r="S37" s="134">
        <v>0</v>
      </c>
      <c r="T37" s="134">
        <v>0</v>
      </c>
      <c r="U37" s="134">
        <v>0</v>
      </c>
      <c r="V37" s="134">
        <v>56.7</v>
      </c>
      <c r="W37" s="134">
        <v>0</v>
      </c>
      <c r="X37" s="134">
        <v>0</v>
      </c>
      <c r="Y37" s="134">
        <v>40.2</v>
      </c>
      <c r="Z37" s="134"/>
      <c r="AA37" s="307">
        <v>0</v>
      </c>
    </row>
    <row r="38" spans="1:27" s="305" customFormat="1" ht="36" customHeight="1" hidden="1">
      <c r="A38" s="309">
        <v>8</v>
      </c>
      <c r="B38" s="310"/>
      <c r="C38" s="311">
        <v>42620</v>
      </c>
      <c r="D38" s="312" t="s">
        <v>477</v>
      </c>
      <c r="E38" s="309">
        <v>300</v>
      </c>
      <c r="F38" s="312" t="s">
        <v>478</v>
      </c>
      <c r="G38" s="312">
        <v>2017</v>
      </c>
      <c r="H38" s="310"/>
      <c r="I38" s="313" t="s">
        <v>300</v>
      </c>
      <c r="J38" s="313" t="s">
        <v>302</v>
      </c>
      <c r="K38" s="313" t="s">
        <v>473</v>
      </c>
      <c r="L38" s="312">
        <v>15210</v>
      </c>
      <c r="M38" s="312">
        <v>4050</v>
      </c>
      <c r="N38" s="312">
        <v>0</v>
      </c>
      <c r="O38" s="312">
        <v>0</v>
      </c>
      <c r="P38" s="312">
        <v>0</v>
      </c>
      <c r="Q38" s="312">
        <v>0</v>
      </c>
      <c r="R38" s="312">
        <v>0</v>
      </c>
      <c r="S38" s="312">
        <v>0</v>
      </c>
      <c r="T38" s="312">
        <v>0</v>
      </c>
      <c r="U38" s="312">
        <v>0</v>
      </c>
      <c r="V38" s="312">
        <v>6276</v>
      </c>
      <c r="W38" s="312">
        <v>888</v>
      </c>
      <c r="X38" s="312">
        <v>0</v>
      </c>
      <c r="Y38" s="312">
        <v>3996</v>
      </c>
      <c r="Z38" s="312"/>
      <c r="AA38" s="307">
        <v>13000000</v>
      </c>
    </row>
    <row r="39" spans="1:27" ht="25.5" customHeight="1" hidden="1">
      <c r="A39" s="309">
        <v>6</v>
      </c>
      <c r="B39" s="312"/>
      <c r="C39" s="311">
        <v>43013</v>
      </c>
      <c r="D39" s="312" t="s">
        <v>479</v>
      </c>
      <c r="E39" s="309">
        <v>400</v>
      </c>
      <c r="F39" s="312" t="s">
        <v>480</v>
      </c>
      <c r="G39" s="312">
        <v>2017</v>
      </c>
      <c r="H39" s="312"/>
      <c r="I39" s="313" t="s">
        <v>300</v>
      </c>
      <c r="J39" s="313" t="s">
        <v>302</v>
      </c>
      <c r="K39" s="313" t="s">
        <v>301</v>
      </c>
      <c r="L39" s="314">
        <v>45677.96610169492</v>
      </c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5"/>
      <c r="AA39" s="5"/>
    </row>
    <row r="40" spans="1:26" s="292" customFormat="1" ht="26.25" customHeight="1" hidden="1">
      <c r="A40" s="316"/>
      <c r="B40" s="317"/>
      <c r="C40" s="318" t="s">
        <v>481</v>
      </c>
      <c r="D40" s="319"/>
      <c r="E40" s="316"/>
      <c r="F40" s="319"/>
      <c r="G40" s="319"/>
      <c r="H40" s="319"/>
      <c r="I40" s="320"/>
      <c r="J40" s="320"/>
      <c r="K40" s="320"/>
      <c r="L40" s="320"/>
      <c r="M40" s="319"/>
      <c r="N40" s="319"/>
      <c r="O40" s="319"/>
      <c r="P40" s="319"/>
      <c r="Q40" s="321"/>
      <c r="R40" s="319"/>
      <c r="S40" s="319"/>
      <c r="T40" s="319"/>
      <c r="U40" s="319"/>
      <c r="V40" s="319"/>
      <c r="W40" s="319"/>
      <c r="X40" s="319"/>
      <c r="Y40" s="319"/>
      <c r="Z40" s="319"/>
    </row>
    <row r="41" spans="1:27" s="306" customFormat="1" ht="25.5" customHeight="1" hidden="1">
      <c r="A41" s="309">
        <v>2</v>
      </c>
      <c r="B41" s="312" t="s">
        <v>482</v>
      </c>
      <c r="C41" s="311">
        <v>42292</v>
      </c>
      <c r="D41" s="312" t="s">
        <v>443</v>
      </c>
      <c r="E41" s="309">
        <v>700</v>
      </c>
      <c r="F41" s="312" t="s">
        <v>483</v>
      </c>
      <c r="G41" s="312">
        <v>2018</v>
      </c>
      <c r="H41" s="312"/>
      <c r="I41" s="313" t="s">
        <v>300</v>
      </c>
      <c r="J41" s="313" t="s">
        <v>302</v>
      </c>
      <c r="K41" s="313" t="s">
        <v>301</v>
      </c>
      <c r="L41" s="312">
        <v>6909</v>
      </c>
      <c r="M41" s="312">
        <v>1953</v>
      </c>
      <c r="N41" s="312">
        <v>0</v>
      </c>
      <c r="O41" s="312">
        <v>0</v>
      </c>
      <c r="P41" s="312">
        <v>0</v>
      </c>
      <c r="Q41" s="312">
        <v>0</v>
      </c>
      <c r="R41" s="312">
        <v>0</v>
      </c>
      <c r="S41" s="312">
        <v>0</v>
      </c>
      <c r="T41" s="312">
        <v>0</v>
      </c>
      <c r="U41" s="312">
        <v>0</v>
      </c>
      <c r="V41" s="312">
        <v>2646</v>
      </c>
      <c r="W41" s="312">
        <v>434</v>
      </c>
      <c r="X41" s="312">
        <v>0</v>
      </c>
      <c r="Y41" s="312">
        <v>1876</v>
      </c>
      <c r="Z41" s="312"/>
      <c r="AA41" s="322">
        <v>0</v>
      </c>
    </row>
    <row r="42" spans="1:27" ht="30.75" customHeight="1" hidden="1">
      <c r="A42" s="309">
        <v>5</v>
      </c>
      <c r="B42" s="312"/>
      <c r="C42" s="311">
        <v>42808</v>
      </c>
      <c r="D42" s="312" t="s">
        <v>484</v>
      </c>
      <c r="E42" s="309">
        <v>73</v>
      </c>
      <c r="F42" s="312" t="s">
        <v>185</v>
      </c>
      <c r="G42" s="312">
        <v>2018</v>
      </c>
      <c r="H42" s="312"/>
      <c r="I42" s="313" t="s">
        <v>300</v>
      </c>
      <c r="J42" s="313" t="s">
        <v>302</v>
      </c>
      <c r="K42" s="313" t="s">
        <v>301</v>
      </c>
      <c r="L42" s="312">
        <v>0</v>
      </c>
      <c r="M42" s="312">
        <v>0</v>
      </c>
      <c r="N42" s="312">
        <v>0</v>
      </c>
      <c r="O42" s="312">
        <v>0</v>
      </c>
      <c r="P42" s="312">
        <v>0</v>
      </c>
      <c r="Q42" s="312">
        <v>0</v>
      </c>
      <c r="R42" s="312">
        <v>0</v>
      </c>
      <c r="S42" s="312">
        <v>0</v>
      </c>
      <c r="T42" s="312">
        <v>0</v>
      </c>
      <c r="U42" s="312">
        <v>0</v>
      </c>
      <c r="V42" s="312">
        <v>0</v>
      </c>
      <c r="W42" s="312">
        <v>0</v>
      </c>
      <c r="X42" s="312">
        <v>0</v>
      </c>
      <c r="Y42" s="312">
        <v>0</v>
      </c>
      <c r="Z42" s="315"/>
      <c r="AA42" s="5"/>
    </row>
    <row r="43" spans="1:27" s="305" customFormat="1" ht="30.75" customHeight="1" hidden="1">
      <c r="A43" s="309">
        <v>9</v>
      </c>
      <c r="B43" s="310"/>
      <c r="C43" s="311">
        <v>42655</v>
      </c>
      <c r="D43" s="312" t="s">
        <v>485</v>
      </c>
      <c r="E43" s="309">
        <v>15</v>
      </c>
      <c r="F43" s="312" t="s">
        <v>465</v>
      </c>
      <c r="G43" s="312">
        <v>2017</v>
      </c>
      <c r="H43" s="310"/>
      <c r="I43" s="313" t="s">
        <v>300</v>
      </c>
      <c r="J43" s="313" t="s">
        <v>420</v>
      </c>
      <c r="K43" s="313" t="s">
        <v>301</v>
      </c>
      <c r="L43" s="313">
        <v>466.1</v>
      </c>
      <c r="M43" s="312">
        <v>41.85</v>
      </c>
      <c r="N43" s="312">
        <v>0</v>
      </c>
      <c r="O43" s="312">
        <v>0</v>
      </c>
      <c r="P43" s="312">
        <v>0</v>
      </c>
      <c r="Q43" s="312">
        <v>0</v>
      </c>
      <c r="R43" s="312">
        <v>0</v>
      </c>
      <c r="S43" s="312">
        <v>0</v>
      </c>
      <c r="T43" s="312">
        <v>0</v>
      </c>
      <c r="U43" s="312">
        <v>0</v>
      </c>
      <c r="V43" s="312">
        <v>56.7</v>
      </c>
      <c r="W43" s="312">
        <v>0</v>
      </c>
      <c r="X43" s="312">
        <v>0</v>
      </c>
      <c r="Y43" s="312">
        <v>40.2</v>
      </c>
      <c r="Z43" s="312"/>
      <c r="AA43" s="307">
        <v>0</v>
      </c>
    </row>
    <row r="44" spans="1:26" s="292" customFormat="1" ht="26.25" customHeight="1" hidden="1">
      <c r="A44" s="298"/>
      <c r="C44" s="299" t="s">
        <v>486</v>
      </c>
      <c r="D44" s="300"/>
      <c r="E44" s="298"/>
      <c r="F44" s="300"/>
      <c r="G44" s="300"/>
      <c r="H44" s="300"/>
      <c r="I44" s="301"/>
      <c r="J44" s="301"/>
      <c r="K44" s="301"/>
      <c r="L44" s="301"/>
      <c r="M44" s="300"/>
      <c r="N44" s="300"/>
      <c r="O44" s="300"/>
      <c r="P44" s="300"/>
      <c r="Q44" s="302"/>
      <c r="R44" s="300"/>
      <c r="S44" s="300"/>
      <c r="T44" s="300"/>
      <c r="U44" s="300"/>
      <c r="V44" s="300"/>
      <c r="W44" s="300"/>
      <c r="X44" s="300"/>
      <c r="Y44" s="300"/>
      <c r="Z44" s="300"/>
    </row>
    <row r="45" spans="1:27" s="305" customFormat="1" ht="30.75" customHeight="1" hidden="1">
      <c r="A45" s="298">
        <v>1</v>
      </c>
      <c r="C45" s="323">
        <v>43077</v>
      </c>
      <c r="D45" s="300" t="s">
        <v>487</v>
      </c>
      <c r="E45" s="298">
        <v>231.07</v>
      </c>
      <c r="F45" s="300" t="s">
        <v>427</v>
      </c>
      <c r="G45" s="300">
        <v>2019</v>
      </c>
      <c r="I45" s="296" t="s">
        <v>321</v>
      </c>
      <c r="J45" s="296" t="s">
        <v>302</v>
      </c>
      <c r="K45" s="296" t="s">
        <v>437</v>
      </c>
      <c r="L45" s="296">
        <v>6287.41</v>
      </c>
      <c r="M45" s="134">
        <v>1744.5784999999998</v>
      </c>
      <c r="N45" s="134">
        <v>0</v>
      </c>
      <c r="O45" s="134">
        <v>0</v>
      </c>
      <c r="P45" s="134">
        <v>0</v>
      </c>
      <c r="Q45" s="134">
        <v>0</v>
      </c>
      <c r="R45" s="134">
        <v>0</v>
      </c>
      <c r="S45" s="134">
        <v>0</v>
      </c>
      <c r="T45" s="134">
        <v>0</v>
      </c>
      <c r="U45" s="134">
        <v>0</v>
      </c>
      <c r="V45" s="134">
        <v>2775.1506999999997</v>
      </c>
      <c r="W45" s="134">
        <v>0</v>
      </c>
      <c r="X45" s="134">
        <v>0</v>
      </c>
      <c r="Y45" s="134">
        <v>1767.6855</v>
      </c>
      <c r="Z45" s="134"/>
      <c r="AA45" s="307">
        <v>0</v>
      </c>
    </row>
    <row r="46" spans="1:27" s="292" customFormat="1" ht="26.25" customHeight="1" hidden="1">
      <c r="A46" s="294">
        <v>2</v>
      </c>
      <c r="B46" s="134"/>
      <c r="C46" s="324">
        <v>43284</v>
      </c>
      <c r="D46" s="134" t="s">
        <v>303</v>
      </c>
      <c r="E46" s="294" t="s">
        <v>488</v>
      </c>
      <c r="F46" s="134" t="s">
        <v>469</v>
      </c>
      <c r="G46" s="134">
        <v>2019</v>
      </c>
      <c r="H46" s="140"/>
      <c r="I46" s="296" t="s">
        <v>321</v>
      </c>
      <c r="J46" s="296" t="s">
        <v>302</v>
      </c>
      <c r="K46" s="296" t="s">
        <v>437</v>
      </c>
      <c r="L46" s="296">
        <v>24903.96</v>
      </c>
      <c r="M46" s="134">
        <v>9791.81</v>
      </c>
      <c r="N46" s="134">
        <v>0</v>
      </c>
      <c r="O46" s="134">
        <v>0</v>
      </c>
      <c r="P46" s="134">
        <v>0</v>
      </c>
      <c r="Q46" s="325">
        <v>0</v>
      </c>
      <c r="R46" s="134">
        <v>0</v>
      </c>
      <c r="S46" s="134">
        <v>0</v>
      </c>
      <c r="T46" s="134">
        <v>0</v>
      </c>
      <c r="U46" s="134">
        <v>0</v>
      </c>
      <c r="V46" s="134">
        <v>15112.15</v>
      </c>
      <c r="W46" s="134">
        <v>0</v>
      </c>
      <c r="X46" s="134">
        <v>0</v>
      </c>
      <c r="Y46" s="134">
        <v>0</v>
      </c>
      <c r="Z46" s="134"/>
      <c r="AA46" s="307">
        <v>0</v>
      </c>
    </row>
    <row r="47" spans="1:27" s="292" customFormat="1" ht="26.25" customHeight="1" hidden="1">
      <c r="A47" s="294">
        <v>3</v>
      </c>
      <c r="B47" s="134"/>
      <c r="C47" s="324">
        <v>43326</v>
      </c>
      <c r="D47" s="134" t="s">
        <v>303</v>
      </c>
      <c r="E47" s="294">
        <v>1600</v>
      </c>
      <c r="F47" s="134" t="s">
        <v>489</v>
      </c>
      <c r="G47" s="134">
        <v>2019</v>
      </c>
      <c r="H47" s="140"/>
      <c r="I47" s="296" t="s">
        <v>321</v>
      </c>
      <c r="J47" s="296" t="s">
        <v>302</v>
      </c>
      <c r="K47" s="296" t="s">
        <v>437</v>
      </c>
      <c r="L47" s="296">
        <v>24903.96</v>
      </c>
      <c r="M47" s="134">
        <v>9791.81</v>
      </c>
      <c r="N47" s="134">
        <v>0</v>
      </c>
      <c r="O47" s="134">
        <v>0</v>
      </c>
      <c r="P47" s="134">
        <v>0</v>
      </c>
      <c r="Q47" s="325">
        <v>0</v>
      </c>
      <c r="R47" s="134">
        <v>0</v>
      </c>
      <c r="S47" s="134">
        <v>0</v>
      </c>
      <c r="T47" s="134">
        <v>0</v>
      </c>
      <c r="U47" s="134">
        <v>0</v>
      </c>
      <c r="V47" s="134">
        <v>15112.15</v>
      </c>
      <c r="W47" s="134">
        <v>0</v>
      </c>
      <c r="X47" s="134">
        <v>0</v>
      </c>
      <c r="Y47" s="134">
        <v>0</v>
      </c>
      <c r="Z47" s="134"/>
      <c r="AA47" s="307">
        <v>0</v>
      </c>
    </row>
    <row r="48" spans="1:27" s="292" customFormat="1" ht="26.25" customHeight="1" hidden="1">
      <c r="A48" s="294">
        <v>4</v>
      </c>
      <c r="B48" s="134"/>
      <c r="C48" s="324">
        <v>43560</v>
      </c>
      <c r="D48" s="134" t="s">
        <v>490</v>
      </c>
      <c r="E48" s="294">
        <v>15</v>
      </c>
      <c r="F48" s="134" t="s">
        <v>491</v>
      </c>
      <c r="G48" s="134">
        <v>2019</v>
      </c>
      <c r="H48" s="140"/>
      <c r="I48" s="296" t="s">
        <v>321</v>
      </c>
      <c r="J48" s="296" t="s">
        <v>492</v>
      </c>
      <c r="K48" s="296" t="s">
        <v>437</v>
      </c>
      <c r="L48" s="313">
        <v>466.1</v>
      </c>
      <c r="M48" s="312"/>
      <c r="N48" s="312">
        <v>0</v>
      </c>
      <c r="O48" s="312">
        <v>0</v>
      </c>
      <c r="P48" s="312">
        <v>0</v>
      </c>
      <c r="Q48" s="312">
        <v>0</v>
      </c>
      <c r="R48" s="312">
        <v>0</v>
      </c>
      <c r="S48" s="312">
        <v>0</v>
      </c>
      <c r="T48" s="312">
        <v>0</v>
      </c>
      <c r="U48" s="312">
        <v>0</v>
      </c>
      <c r="V48" s="312"/>
      <c r="W48" s="312">
        <v>0</v>
      </c>
      <c r="X48" s="312">
        <v>0</v>
      </c>
      <c r="Y48" s="134">
        <v>0</v>
      </c>
      <c r="Z48" s="134"/>
      <c r="AA48" s="307">
        <v>0</v>
      </c>
    </row>
    <row r="49" spans="1:27" s="292" customFormat="1" ht="26.25" customHeight="1" hidden="1">
      <c r="A49" s="294">
        <v>5</v>
      </c>
      <c r="B49" s="134"/>
      <c r="C49" s="324">
        <v>43571</v>
      </c>
      <c r="D49" s="134" t="s">
        <v>493</v>
      </c>
      <c r="E49" s="294">
        <v>15</v>
      </c>
      <c r="F49" s="134" t="s">
        <v>491</v>
      </c>
      <c r="G49" s="134">
        <v>2019</v>
      </c>
      <c r="H49" s="140"/>
      <c r="I49" s="296" t="s">
        <v>321</v>
      </c>
      <c r="J49" s="296" t="s">
        <v>492</v>
      </c>
      <c r="K49" s="296" t="s">
        <v>437</v>
      </c>
      <c r="L49" s="313">
        <v>466.1</v>
      </c>
      <c r="M49" s="312"/>
      <c r="N49" s="312">
        <v>0</v>
      </c>
      <c r="O49" s="312">
        <v>0</v>
      </c>
      <c r="P49" s="312">
        <v>0</v>
      </c>
      <c r="Q49" s="312">
        <v>0</v>
      </c>
      <c r="R49" s="312">
        <v>0</v>
      </c>
      <c r="S49" s="312">
        <v>0</v>
      </c>
      <c r="T49" s="312">
        <v>0</v>
      </c>
      <c r="U49" s="312">
        <v>0</v>
      </c>
      <c r="V49" s="312"/>
      <c r="W49" s="312">
        <v>0</v>
      </c>
      <c r="X49" s="312">
        <v>0</v>
      </c>
      <c r="Y49" s="134">
        <v>0</v>
      </c>
      <c r="Z49" s="134"/>
      <c r="AA49" s="307">
        <v>0</v>
      </c>
    </row>
    <row r="50" spans="1:27" s="292" customFormat="1" ht="26.25" customHeight="1" hidden="1">
      <c r="A50" s="294">
        <v>6</v>
      </c>
      <c r="B50" s="134"/>
      <c r="C50" s="324">
        <v>43606</v>
      </c>
      <c r="D50" s="134" t="s">
        <v>494</v>
      </c>
      <c r="E50" s="294">
        <v>1</v>
      </c>
      <c r="F50" s="134" t="s">
        <v>491</v>
      </c>
      <c r="G50" s="134">
        <v>2019</v>
      </c>
      <c r="H50" s="140"/>
      <c r="I50" s="296" t="s">
        <v>321</v>
      </c>
      <c r="J50" s="296" t="s">
        <v>492</v>
      </c>
      <c r="K50" s="296" t="s">
        <v>437</v>
      </c>
      <c r="L50" s="313">
        <v>466.1</v>
      </c>
      <c r="M50" s="312"/>
      <c r="N50" s="312">
        <v>0</v>
      </c>
      <c r="O50" s="312">
        <v>0</v>
      </c>
      <c r="P50" s="312">
        <v>0</v>
      </c>
      <c r="Q50" s="312">
        <v>0</v>
      </c>
      <c r="R50" s="312">
        <v>0</v>
      </c>
      <c r="S50" s="312">
        <v>0</v>
      </c>
      <c r="T50" s="312">
        <v>0</v>
      </c>
      <c r="U50" s="312">
        <v>0</v>
      </c>
      <c r="V50" s="312"/>
      <c r="W50" s="312">
        <v>0</v>
      </c>
      <c r="X50" s="312">
        <v>0</v>
      </c>
      <c r="Y50" s="134">
        <v>0</v>
      </c>
      <c r="Z50" s="134"/>
      <c r="AA50" s="307">
        <v>0</v>
      </c>
    </row>
    <row r="51" spans="1:27" s="292" customFormat="1" ht="26.25" customHeight="1" hidden="1">
      <c r="A51" s="294">
        <v>7</v>
      </c>
      <c r="B51" s="134"/>
      <c r="C51" s="324">
        <v>43670</v>
      </c>
      <c r="D51" s="134" t="s">
        <v>495</v>
      </c>
      <c r="E51" s="294">
        <v>5</v>
      </c>
      <c r="F51" s="134" t="s">
        <v>491</v>
      </c>
      <c r="G51" s="134">
        <v>2019</v>
      </c>
      <c r="H51" s="140"/>
      <c r="I51" s="296" t="s">
        <v>321</v>
      </c>
      <c r="J51" s="296" t="s">
        <v>492</v>
      </c>
      <c r="K51" s="296" t="s">
        <v>437</v>
      </c>
      <c r="L51" s="313">
        <v>466.1</v>
      </c>
      <c r="M51" s="312"/>
      <c r="N51" s="312">
        <v>0</v>
      </c>
      <c r="O51" s="312">
        <v>0</v>
      </c>
      <c r="P51" s="312">
        <v>0</v>
      </c>
      <c r="Q51" s="312">
        <v>0</v>
      </c>
      <c r="R51" s="312">
        <v>0</v>
      </c>
      <c r="S51" s="312">
        <v>0</v>
      </c>
      <c r="T51" s="312">
        <v>0</v>
      </c>
      <c r="U51" s="312">
        <v>0</v>
      </c>
      <c r="V51" s="312"/>
      <c r="W51" s="312">
        <v>0</v>
      </c>
      <c r="X51" s="312">
        <v>0</v>
      </c>
      <c r="Y51" s="134">
        <v>0</v>
      </c>
      <c r="Z51" s="134"/>
      <c r="AA51" s="307">
        <v>0</v>
      </c>
    </row>
    <row r="52" spans="1:27" s="317" customFormat="1" ht="25.5" customHeight="1" hidden="1">
      <c r="A52" s="309">
        <v>1</v>
      </c>
      <c r="B52" s="312"/>
      <c r="C52" s="311">
        <v>42410</v>
      </c>
      <c r="D52" s="326" t="s">
        <v>496</v>
      </c>
      <c r="E52" s="309">
        <v>466</v>
      </c>
      <c r="F52" s="312" t="s">
        <v>444</v>
      </c>
      <c r="G52" s="312">
        <v>2020</v>
      </c>
      <c r="H52" s="312"/>
      <c r="I52" s="313" t="s">
        <v>300</v>
      </c>
      <c r="J52" s="313" t="s">
        <v>420</v>
      </c>
      <c r="K52" s="313" t="s">
        <v>301</v>
      </c>
      <c r="L52" s="312">
        <v>208721.40000000005</v>
      </c>
      <c r="M52" s="312">
        <v>1300.14</v>
      </c>
      <c r="N52" s="312">
        <v>204121.98</v>
      </c>
      <c r="O52" s="312">
        <v>0</v>
      </c>
      <c r="P52" s="312">
        <v>0</v>
      </c>
      <c r="Q52" s="312">
        <v>0</v>
      </c>
      <c r="R52" s="312">
        <v>0</v>
      </c>
      <c r="S52" s="312">
        <v>0</v>
      </c>
      <c r="T52" s="312">
        <v>0</v>
      </c>
      <c r="U52" s="312">
        <v>0</v>
      </c>
      <c r="V52" s="312">
        <v>1761.48</v>
      </c>
      <c r="W52" s="312">
        <v>288.92</v>
      </c>
      <c r="X52" s="312">
        <v>0</v>
      </c>
      <c r="Y52" s="312">
        <v>1248.88</v>
      </c>
      <c r="Z52" s="312"/>
      <c r="AA52" s="327">
        <v>4560000</v>
      </c>
    </row>
    <row r="53" spans="1:27" s="310" customFormat="1" ht="25.5" customHeight="1" hidden="1">
      <c r="A53" s="309">
        <v>2</v>
      </c>
      <c r="B53" s="312"/>
      <c r="C53" s="311">
        <v>42997</v>
      </c>
      <c r="D53" s="326" t="s">
        <v>443</v>
      </c>
      <c r="E53" s="309">
        <v>140</v>
      </c>
      <c r="F53" s="312" t="s">
        <v>497</v>
      </c>
      <c r="G53" s="312">
        <v>2020</v>
      </c>
      <c r="H53" s="312"/>
      <c r="I53" s="313" t="s">
        <v>300</v>
      </c>
      <c r="J53" s="313" t="s">
        <v>302</v>
      </c>
      <c r="K53" s="313" t="s">
        <v>301</v>
      </c>
      <c r="L53" s="312">
        <v>3809.3999999999996</v>
      </c>
      <c r="M53" s="312">
        <v>1057</v>
      </c>
      <c r="N53" s="312">
        <v>0</v>
      </c>
      <c r="O53" s="312">
        <v>0</v>
      </c>
      <c r="P53" s="312">
        <v>0</v>
      </c>
      <c r="Q53" s="312">
        <v>0</v>
      </c>
      <c r="R53" s="312">
        <v>0</v>
      </c>
      <c r="S53" s="312">
        <v>0</v>
      </c>
      <c r="T53" s="312">
        <v>0</v>
      </c>
      <c r="U53" s="312">
        <v>0</v>
      </c>
      <c r="V53" s="312">
        <v>1681.3999999999999</v>
      </c>
      <c r="W53" s="312">
        <v>0</v>
      </c>
      <c r="X53" s="312">
        <v>0</v>
      </c>
      <c r="Y53" s="312">
        <v>1071</v>
      </c>
      <c r="Z53" s="315"/>
      <c r="AA53" s="315"/>
    </row>
    <row r="54" spans="1:27" s="310" customFormat="1" ht="45" hidden="1">
      <c r="A54" s="309">
        <v>5</v>
      </c>
      <c r="C54" s="311">
        <v>43698</v>
      </c>
      <c r="D54" s="328" t="s">
        <v>487</v>
      </c>
      <c r="E54" s="309">
        <v>5812</v>
      </c>
      <c r="F54" s="311" t="s">
        <v>498</v>
      </c>
      <c r="G54" s="312">
        <v>2020</v>
      </c>
      <c r="H54" s="312"/>
      <c r="I54" s="313" t="s">
        <v>300</v>
      </c>
      <c r="J54" s="313" t="s">
        <v>420</v>
      </c>
      <c r="K54" s="313" t="s">
        <v>301</v>
      </c>
      <c r="L54" s="312">
        <v>26921.2</v>
      </c>
      <c r="M54" s="312">
        <v>10555.03</v>
      </c>
      <c r="N54" s="312">
        <v>0</v>
      </c>
      <c r="O54" s="312">
        <v>0</v>
      </c>
      <c r="P54" s="312">
        <v>0</v>
      </c>
      <c r="Q54" s="312">
        <v>0</v>
      </c>
      <c r="R54" s="312">
        <v>0</v>
      </c>
      <c r="S54" s="312">
        <v>0</v>
      </c>
      <c r="T54" s="312">
        <v>0</v>
      </c>
      <c r="U54" s="312">
        <v>0</v>
      </c>
      <c r="V54" s="312">
        <v>16366.17</v>
      </c>
      <c r="W54" s="312">
        <v>0</v>
      </c>
      <c r="X54" s="312">
        <v>0</v>
      </c>
      <c r="Y54" s="312">
        <v>0</v>
      </c>
      <c r="Z54" s="315"/>
      <c r="AA54" s="315"/>
    </row>
    <row r="55" spans="1:27" s="317" customFormat="1" ht="26.25" customHeight="1" hidden="1">
      <c r="A55" s="309">
        <v>6</v>
      </c>
      <c r="B55" s="310"/>
      <c r="C55" s="311">
        <v>43696</v>
      </c>
      <c r="D55" s="328" t="s">
        <v>499</v>
      </c>
      <c r="E55" s="309">
        <v>10</v>
      </c>
      <c r="F55" s="311" t="s">
        <v>500</v>
      </c>
      <c r="G55" s="312">
        <v>2019</v>
      </c>
      <c r="H55" s="312"/>
      <c r="I55" s="313" t="s">
        <v>321</v>
      </c>
      <c r="J55" s="313" t="s">
        <v>492</v>
      </c>
      <c r="K55" s="313" t="s">
        <v>301</v>
      </c>
      <c r="L55" s="312">
        <v>466.1</v>
      </c>
      <c r="M55" s="312"/>
      <c r="N55" s="312">
        <v>0</v>
      </c>
      <c r="O55" s="312">
        <v>0</v>
      </c>
      <c r="P55" s="312">
        <v>0</v>
      </c>
      <c r="Q55" s="312">
        <v>0</v>
      </c>
      <c r="R55" s="312">
        <v>0</v>
      </c>
      <c r="S55" s="312">
        <v>0</v>
      </c>
      <c r="T55" s="312">
        <v>0</v>
      </c>
      <c r="U55" s="312">
        <v>0</v>
      </c>
      <c r="V55" s="312"/>
      <c r="W55" s="312">
        <v>0</v>
      </c>
      <c r="X55" s="312">
        <v>0</v>
      </c>
      <c r="Y55" s="312">
        <v>0</v>
      </c>
      <c r="Z55" s="315"/>
      <c r="AA55" s="315">
        <v>0</v>
      </c>
    </row>
    <row r="57" ht="30.75" customHeight="1">
      <c r="C57" s="215" t="s">
        <v>501</v>
      </c>
    </row>
    <row r="58" spans="1:27" ht="41.25" customHeight="1">
      <c r="A58" s="451" t="s">
        <v>319</v>
      </c>
      <c r="B58" s="451" t="s">
        <v>320</v>
      </c>
      <c r="C58" s="451" t="s">
        <v>273</v>
      </c>
      <c r="D58" s="451" t="s">
        <v>274</v>
      </c>
      <c r="E58" s="451" t="s">
        <v>275</v>
      </c>
      <c r="F58" s="451" t="s">
        <v>276</v>
      </c>
      <c r="G58" s="451" t="s">
        <v>277</v>
      </c>
      <c r="H58" s="216"/>
      <c r="I58" s="451" t="s">
        <v>278</v>
      </c>
      <c r="J58" s="451" t="s">
        <v>279</v>
      </c>
      <c r="K58" s="451" t="s">
        <v>280</v>
      </c>
      <c r="L58" s="451" t="s">
        <v>502</v>
      </c>
      <c r="M58" s="453" t="s">
        <v>282</v>
      </c>
      <c r="N58" s="453"/>
      <c r="O58" s="453"/>
      <c r="P58" s="453"/>
      <c r="Q58" s="453"/>
      <c r="R58" s="453"/>
      <c r="S58" s="453"/>
      <c r="T58" s="453"/>
      <c r="U58" s="453"/>
      <c r="V58" s="453"/>
      <c r="W58" s="453"/>
      <c r="X58" s="453"/>
      <c r="Y58" s="453"/>
      <c r="Z58" s="451" t="s">
        <v>283</v>
      </c>
      <c r="AA58" s="451" t="s">
        <v>284</v>
      </c>
    </row>
    <row r="59" spans="1:27" ht="15">
      <c r="A59" s="451"/>
      <c r="B59" s="451"/>
      <c r="C59" s="451"/>
      <c r="D59" s="451"/>
      <c r="E59" s="451"/>
      <c r="F59" s="451"/>
      <c r="G59" s="451"/>
      <c r="H59" s="216"/>
      <c r="I59" s="451"/>
      <c r="J59" s="451"/>
      <c r="K59" s="451"/>
      <c r="L59" s="451"/>
      <c r="M59" s="451" t="s">
        <v>285</v>
      </c>
      <c r="N59" s="451" t="s">
        <v>503</v>
      </c>
      <c r="O59" s="451" t="s">
        <v>287</v>
      </c>
      <c r="P59" s="452" t="s">
        <v>288</v>
      </c>
      <c r="Q59" s="452"/>
      <c r="R59" s="452"/>
      <c r="S59" s="452"/>
      <c r="T59" s="452"/>
      <c r="U59" s="451" t="s">
        <v>289</v>
      </c>
      <c r="V59" s="451" t="s">
        <v>290</v>
      </c>
      <c r="W59" s="451" t="s">
        <v>291</v>
      </c>
      <c r="X59" s="451" t="s">
        <v>504</v>
      </c>
      <c r="Y59" s="451" t="s">
        <v>293</v>
      </c>
      <c r="Z59" s="451"/>
      <c r="AA59" s="451"/>
    </row>
    <row r="60" spans="1:27" ht="84.75" customHeight="1">
      <c r="A60" s="451"/>
      <c r="B60" s="451"/>
      <c r="C60" s="451"/>
      <c r="D60" s="451"/>
      <c r="E60" s="451"/>
      <c r="F60" s="451"/>
      <c r="G60" s="451"/>
      <c r="H60" s="286" t="s">
        <v>294</v>
      </c>
      <c r="I60" s="451"/>
      <c r="J60" s="451"/>
      <c r="K60" s="451"/>
      <c r="L60" s="451"/>
      <c r="M60" s="451"/>
      <c r="N60" s="451"/>
      <c r="O60" s="451"/>
      <c r="P60" s="286" t="s">
        <v>295</v>
      </c>
      <c r="Q60" s="286" t="s">
        <v>296</v>
      </c>
      <c r="R60" s="286" t="s">
        <v>297</v>
      </c>
      <c r="S60" s="286" t="s">
        <v>298</v>
      </c>
      <c r="T60" s="286" t="s">
        <v>299</v>
      </c>
      <c r="U60" s="451"/>
      <c r="V60" s="451"/>
      <c r="W60" s="451"/>
      <c r="X60" s="451"/>
      <c r="Y60" s="451"/>
      <c r="Z60" s="451"/>
      <c r="AA60" s="451"/>
    </row>
    <row r="61" spans="1:27" ht="25.5" customHeight="1">
      <c r="A61" s="229" t="s">
        <v>86</v>
      </c>
      <c r="B61" s="218"/>
      <c r="C61" s="217">
        <v>43438</v>
      </c>
      <c r="D61" s="230" t="s">
        <v>322</v>
      </c>
      <c r="E61" s="229">
        <v>1200</v>
      </c>
      <c r="F61" s="217" t="s">
        <v>323</v>
      </c>
      <c r="G61" s="218">
        <v>2022</v>
      </c>
      <c r="H61" s="218"/>
      <c r="I61" s="219" t="s">
        <v>300</v>
      </c>
      <c r="J61" s="219" t="s">
        <v>302</v>
      </c>
      <c r="K61" s="219" t="s">
        <v>301</v>
      </c>
      <c r="L61" s="218">
        <v>24903.96</v>
      </c>
      <c r="M61" s="218">
        <v>9791.81</v>
      </c>
      <c r="N61" s="218">
        <v>0</v>
      </c>
      <c r="O61" s="218">
        <v>0</v>
      </c>
      <c r="P61" s="218">
        <v>0</v>
      </c>
      <c r="Q61" s="218">
        <v>0</v>
      </c>
      <c r="R61" s="218">
        <v>0</v>
      </c>
      <c r="S61" s="218">
        <v>0</v>
      </c>
      <c r="T61" s="218">
        <v>0</v>
      </c>
      <c r="U61" s="218">
        <v>0</v>
      </c>
      <c r="V61" s="218">
        <v>15112.15</v>
      </c>
      <c r="W61" s="218">
        <v>0</v>
      </c>
      <c r="X61" s="218">
        <v>0</v>
      </c>
      <c r="Y61" s="218">
        <v>0</v>
      </c>
      <c r="Z61" s="5"/>
      <c r="AA61" s="5"/>
    </row>
    <row r="62" spans="1:27" ht="45">
      <c r="A62" s="229" t="s">
        <v>213</v>
      </c>
      <c r="B62" s="218"/>
      <c r="C62" s="217">
        <v>44308</v>
      </c>
      <c r="D62" s="230" t="s">
        <v>505</v>
      </c>
      <c r="E62" s="229">
        <v>1550</v>
      </c>
      <c r="F62" s="217" t="s">
        <v>506</v>
      </c>
      <c r="G62" s="218">
        <v>2022</v>
      </c>
      <c r="H62" s="218"/>
      <c r="I62" s="219" t="s">
        <v>300</v>
      </c>
      <c r="J62" s="219" t="s">
        <v>507</v>
      </c>
      <c r="K62" s="219" t="s">
        <v>301</v>
      </c>
      <c r="L62" s="218">
        <f>M62+V62+X62</f>
        <v>282447.18</v>
      </c>
      <c r="M62" s="218">
        <v>12169.17</v>
      </c>
      <c r="N62" s="218"/>
      <c r="O62" s="218"/>
      <c r="P62" s="218"/>
      <c r="Q62" s="218"/>
      <c r="R62" s="218"/>
      <c r="S62" s="218"/>
      <c r="T62" s="218"/>
      <c r="U62" s="218"/>
      <c r="V62" s="218">
        <v>17070.15</v>
      </c>
      <c r="W62" s="218"/>
      <c r="X62" s="218">
        <f>253207.86</f>
        <v>253207.86</v>
      </c>
      <c r="Y62" s="218"/>
      <c r="Z62" s="5"/>
      <c r="AA62" s="264" t="s">
        <v>508</v>
      </c>
    </row>
    <row r="63" spans="1:27" ht="45">
      <c r="A63" s="229" t="s">
        <v>227</v>
      </c>
      <c r="B63" s="218"/>
      <c r="C63" s="217">
        <v>44448</v>
      </c>
      <c r="D63" s="230" t="s">
        <v>509</v>
      </c>
      <c r="E63" s="229">
        <v>50</v>
      </c>
      <c r="F63" s="217" t="s">
        <v>510</v>
      </c>
      <c r="G63" s="218">
        <v>2022</v>
      </c>
      <c r="H63" s="218"/>
      <c r="I63" s="219" t="s">
        <v>300</v>
      </c>
      <c r="J63" s="219" t="s">
        <v>302</v>
      </c>
      <c r="K63" s="219" t="s">
        <v>301</v>
      </c>
      <c r="L63" s="218">
        <v>23833</v>
      </c>
      <c r="M63" s="218"/>
      <c r="N63" s="218">
        <v>23833</v>
      </c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5"/>
      <c r="AA63" s="5"/>
    </row>
    <row r="64" spans="1:27" ht="25.5" customHeight="1">
      <c r="A64" s="229">
        <v>4</v>
      </c>
      <c r="B64" s="218"/>
      <c r="C64" s="217">
        <v>43599</v>
      </c>
      <c r="D64" s="230" t="s">
        <v>303</v>
      </c>
      <c r="E64" s="229">
        <v>360</v>
      </c>
      <c r="F64" s="217" t="s">
        <v>324</v>
      </c>
      <c r="G64" s="218">
        <v>2022</v>
      </c>
      <c r="H64" s="218"/>
      <c r="I64" s="219" t="s">
        <v>300</v>
      </c>
      <c r="J64" s="219" t="s">
        <v>302</v>
      </c>
      <c r="K64" s="219" t="s">
        <v>301</v>
      </c>
      <c r="L64" s="218">
        <v>26921.2</v>
      </c>
      <c r="M64" s="218">
        <v>10555.03</v>
      </c>
      <c r="N64" s="218">
        <v>0</v>
      </c>
      <c r="O64" s="218">
        <v>0</v>
      </c>
      <c r="P64" s="218">
        <v>0</v>
      </c>
      <c r="Q64" s="218">
        <v>0</v>
      </c>
      <c r="R64" s="218">
        <v>0</v>
      </c>
      <c r="S64" s="218">
        <v>0</v>
      </c>
      <c r="T64" s="218">
        <v>0</v>
      </c>
      <c r="U64" s="218">
        <v>0</v>
      </c>
      <c r="V64" s="218">
        <v>16366.17</v>
      </c>
      <c r="W64" s="218">
        <v>0</v>
      </c>
      <c r="X64" s="218">
        <v>0</v>
      </c>
      <c r="Y64" s="218">
        <v>0</v>
      </c>
      <c r="Z64" s="5"/>
      <c r="AA64" s="5"/>
    </row>
  </sheetData>
  <sheetProtection/>
  <mergeCells count="68">
    <mergeCell ref="G3:G5"/>
    <mergeCell ref="A3:A5"/>
    <mergeCell ref="B3:B5"/>
    <mergeCell ref="C3:C5"/>
    <mergeCell ref="D3:D5"/>
    <mergeCell ref="E3:E5"/>
    <mergeCell ref="F3:F5"/>
    <mergeCell ref="Z3:Z5"/>
    <mergeCell ref="M4:M5"/>
    <mergeCell ref="N4:N5"/>
    <mergeCell ref="O4:O5"/>
    <mergeCell ref="P4:T4"/>
    <mergeCell ref="U4:U5"/>
    <mergeCell ref="M3:Y3"/>
    <mergeCell ref="Y4:Y5"/>
    <mergeCell ref="V4:V5"/>
    <mergeCell ref="W4:W5"/>
    <mergeCell ref="X4:X5"/>
    <mergeCell ref="I3:I5"/>
    <mergeCell ref="J3:J5"/>
    <mergeCell ref="K3:K5"/>
    <mergeCell ref="L3:L5"/>
    <mergeCell ref="A30:A32"/>
    <mergeCell ref="B30:B32"/>
    <mergeCell ref="C30:C32"/>
    <mergeCell ref="D30:D32"/>
    <mergeCell ref="E30:E32"/>
    <mergeCell ref="F30:F32"/>
    <mergeCell ref="G30:G32"/>
    <mergeCell ref="I30:I32"/>
    <mergeCell ref="J30:J32"/>
    <mergeCell ref="K30:K32"/>
    <mergeCell ref="L30:L32"/>
    <mergeCell ref="M30:Y30"/>
    <mergeCell ref="Y31:Y32"/>
    <mergeCell ref="Z30:Z32"/>
    <mergeCell ref="AA30:AA32"/>
    <mergeCell ref="M31:M32"/>
    <mergeCell ref="N31:N32"/>
    <mergeCell ref="O31:O32"/>
    <mergeCell ref="P31:T31"/>
    <mergeCell ref="U31:U32"/>
    <mergeCell ref="V31:V32"/>
    <mergeCell ref="W31:W32"/>
    <mergeCell ref="X31:X32"/>
    <mergeCell ref="A58:A60"/>
    <mergeCell ref="B58:B60"/>
    <mergeCell ref="C58:C60"/>
    <mergeCell ref="D58:D60"/>
    <mergeCell ref="E58:E60"/>
    <mergeCell ref="F58:F60"/>
    <mergeCell ref="G58:G60"/>
    <mergeCell ref="I58:I60"/>
    <mergeCell ref="J58:J60"/>
    <mergeCell ref="K58:K60"/>
    <mergeCell ref="L58:L60"/>
    <mergeCell ref="M58:Y58"/>
    <mergeCell ref="Y59:Y60"/>
    <mergeCell ref="Z58:Z60"/>
    <mergeCell ref="AA58:AA60"/>
    <mergeCell ref="M59:M60"/>
    <mergeCell ref="N59:N60"/>
    <mergeCell ref="O59:O60"/>
    <mergeCell ref="P59:T59"/>
    <mergeCell ref="U59:U60"/>
    <mergeCell ref="V59:V60"/>
    <mergeCell ref="W59:W60"/>
    <mergeCell ref="X59:X60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view="pageBreakPreview" zoomScaleSheetLayoutView="100" zoomScalePageLayoutView="0" workbookViewId="0" topLeftCell="A1">
      <selection activeCell="E15" sqref="E15:H16"/>
    </sheetView>
  </sheetViews>
  <sheetFormatPr defaultColWidth="9.140625" defaultRowHeight="15"/>
  <cols>
    <col min="1" max="2" width="15.8515625" style="235" customWidth="1"/>
    <col min="3" max="3" width="15.8515625" style="236" customWidth="1"/>
    <col min="4" max="4" width="13.57421875" style="235" bestFit="1" customWidth="1"/>
    <col min="5" max="5" width="20.7109375" style="237" customWidth="1"/>
    <col min="6" max="6" width="11.7109375" style="237" customWidth="1"/>
    <col min="7" max="7" width="12.57421875" style="237" customWidth="1"/>
    <col min="8" max="8" width="11.140625" style="237" customWidth="1"/>
    <col min="9" max="9" width="11.421875" style="235" bestFit="1" customWidth="1"/>
    <col min="10" max="10" width="10.421875" style="235" bestFit="1" customWidth="1"/>
    <col min="11" max="16384" width="9.140625" style="235" customWidth="1"/>
  </cols>
  <sheetData>
    <row r="2" spans="1:8" ht="36.75" customHeight="1">
      <c r="A2" s="464" t="s">
        <v>409</v>
      </c>
      <c r="B2" s="464"/>
      <c r="C2" s="464"/>
      <c r="D2" s="464"/>
      <c r="E2" s="464"/>
      <c r="F2" s="464"/>
      <c r="G2" s="464"/>
      <c r="H2" s="464"/>
    </row>
    <row r="4" spans="1:8" s="238" customFormat="1" ht="12.75" customHeight="1">
      <c r="A4" s="465" t="s">
        <v>326</v>
      </c>
      <c r="B4" s="466" t="s">
        <v>327</v>
      </c>
      <c r="C4" s="468" t="s">
        <v>328</v>
      </c>
      <c r="D4" s="465" t="s">
        <v>329</v>
      </c>
      <c r="E4" s="462" t="s">
        <v>330</v>
      </c>
      <c r="F4" s="469" t="s">
        <v>332</v>
      </c>
      <c r="G4" s="469"/>
      <c r="H4" s="469"/>
    </row>
    <row r="5" spans="1:9" s="238" customFormat="1" ht="44.25" customHeight="1">
      <c r="A5" s="465"/>
      <c r="B5" s="467"/>
      <c r="C5" s="468"/>
      <c r="D5" s="465"/>
      <c r="E5" s="463"/>
      <c r="F5" s="278" t="s">
        <v>333</v>
      </c>
      <c r="G5" s="278" t="s">
        <v>334</v>
      </c>
      <c r="H5" s="278" t="s">
        <v>335</v>
      </c>
      <c r="I5" s="238" t="s">
        <v>336</v>
      </c>
    </row>
    <row r="6" spans="1:9" s="241" customFormat="1" ht="76.5">
      <c r="A6" s="458" t="str">
        <f>'[7]расходы ЭТК 2 кв'!A9</f>
        <v>Марченко Олег Николаевич</v>
      </c>
      <c r="B6" s="239" t="s">
        <v>6</v>
      </c>
      <c r="C6" s="460" t="str">
        <f>'[7]расходы ЭТК 2 кв'!B9</f>
        <v>14.04.2021 г.</v>
      </c>
      <c r="D6" s="458" t="str">
        <f>'[7]расходы ЭТК 2 кв'!C9</f>
        <v>53 от 24.12.2020 г.</v>
      </c>
      <c r="E6" s="240">
        <f>'[7]расходы ЭТК 2 кв'!O9*I6/(I$6+I$7)</f>
        <v>6606.853905594308</v>
      </c>
      <c r="F6" s="252">
        <f>'[7]расходы ЭТК 2 кв'!L$9*I6/(I6+I7)</f>
        <v>4992.200213523132</v>
      </c>
      <c r="G6" s="252">
        <f>'[7]расходы ЭТК 2 кв'!M$9*I6/(I6+I7)</f>
        <v>1517.6288649110322</v>
      </c>
      <c r="H6" s="252">
        <f>'[7]расходы ЭТК 2 кв'!K$6/4*I6/(I6+I7)</f>
        <v>97.02482716014237</v>
      </c>
      <c r="I6" s="241">
        <v>13.38</v>
      </c>
    </row>
    <row r="7" spans="1:9" s="241" customFormat="1" ht="51">
      <c r="A7" s="459"/>
      <c r="B7" s="242" t="s">
        <v>331</v>
      </c>
      <c r="C7" s="461"/>
      <c r="D7" s="459"/>
      <c r="E7" s="240">
        <f>'[7]расходы ЭТК 2 кв'!O9*I7/(I$6+I$7)</f>
        <v>10043.603022405696</v>
      </c>
      <c r="F7" s="252">
        <f>'[7]расходы ЭТК 2 кв'!L$9*I7/(I6+I7)</f>
        <v>7589.039786476869</v>
      </c>
      <c r="G7" s="252">
        <f>'[7]расходы ЭТК 2 кв'!M$9*I7/(I6+I7)</f>
        <v>2307.0680950889678</v>
      </c>
      <c r="H7" s="252">
        <f>'[7]расходы ЭТК 2 кв'!K$6/4*I7/(I6+I7)</f>
        <v>147.49514083985767</v>
      </c>
      <c r="I7" s="241">
        <v>20.34</v>
      </c>
    </row>
    <row r="8" spans="1:9" s="241" customFormat="1" ht="51" customHeight="1">
      <c r="A8" s="458" t="str">
        <f>'[7]расходы всего ЭТК 2 кв'!A7</f>
        <v>Марченко Людмила Александровна</v>
      </c>
      <c r="B8" s="239" t="s">
        <v>6</v>
      </c>
      <c r="C8" s="460" t="str">
        <f>'[7]расходы ЭТК 2 кв'!B6</f>
        <v>14.04.2021 г.</v>
      </c>
      <c r="D8" s="458" t="str">
        <f>'[7]расходы ЭТК 2 кв'!C6</f>
        <v>52 от 23.12.2020</v>
      </c>
      <c r="E8" s="240">
        <f>'[7]расходы ЭТК 2 кв'!O$6*I8/(I$8+I$9)</f>
        <v>6606.853905594308</v>
      </c>
      <c r="F8" s="252">
        <f>'[7]расходы ЭТК 2 кв'!L6*I8/(I8+I9)</f>
        <v>4992.200213523132</v>
      </c>
      <c r="G8" s="252">
        <f>'[7]расходы ЭТК 2 кв'!M6*I8/(I8+I9)</f>
        <v>1517.6288649110322</v>
      </c>
      <c r="H8" s="252">
        <f>'[7]расходы ЭТК 2 кв'!K$6/4*I8/(I8+I9)</f>
        <v>97.02482716014237</v>
      </c>
      <c r="I8" s="241">
        <v>13.38</v>
      </c>
    </row>
    <row r="9" spans="1:9" s="241" customFormat="1" ht="51" customHeight="1">
      <c r="A9" s="459"/>
      <c r="B9" s="242" t="s">
        <v>331</v>
      </c>
      <c r="C9" s="461"/>
      <c r="D9" s="459"/>
      <c r="E9" s="240">
        <f>'[7]расходы ЭТК 2 кв'!O$6*I9/(I$8+I$9)</f>
        <v>10043.603022405696</v>
      </c>
      <c r="F9" s="252">
        <f>'[7]расходы ЭТК 2 кв'!L6*I9/(I8+I9)</f>
        <v>7589.039786476869</v>
      </c>
      <c r="G9" s="252">
        <f>'[7]расходы ЭТК 2 кв'!M6*I9/(I8+I9)</f>
        <v>2307.0680950889678</v>
      </c>
      <c r="H9" s="252">
        <f>'[7]расходы ЭТК 2 кв'!K$6/4*I9/(I8+I9)</f>
        <v>147.49514083985767</v>
      </c>
      <c r="I9" s="241">
        <v>20.34</v>
      </c>
    </row>
    <row r="10" spans="1:9" s="241" customFormat="1" ht="51" customHeight="1">
      <c r="A10" s="458" t="str">
        <f>'[7]расходы ЭТК 2 кв'!A8</f>
        <v>Шарова Елена Сергеевна</v>
      </c>
      <c r="B10" s="239" t="s">
        <v>6</v>
      </c>
      <c r="C10" s="460" t="str">
        <f>'[7]расходы ЭТК 2 кв'!B8</f>
        <v>14.04.2021 г.</v>
      </c>
      <c r="D10" s="458" t="str">
        <f>'[7]расходы ЭТК 2 кв'!C8</f>
        <v>54 от 24.12.2020 г.</v>
      </c>
      <c r="E10" s="240">
        <f>'[7]расходы ЭТК 2 кв'!O$8*I10/(I$10+I$11)</f>
        <v>6606.853905594308</v>
      </c>
      <c r="F10" s="252">
        <f>'[7]расходы ЭТК 2 кв'!L8*I10/(I10+I11)</f>
        <v>4992.200213523132</v>
      </c>
      <c r="G10" s="252">
        <f>'[7]расходы ЭТК 2 кв'!M8*I10/(I10+I11)</f>
        <v>1517.6288649110322</v>
      </c>
      <c r="H10" s="252">
        <f>'[7]расходы ЭТК 2 кв'!K$6/4*I10/(I10+I11)</f>
        <v>97.02482716014237</v>
      </c>
      <c r="I10" s="241">
        <v>13.38</v>
      </c>
    </row>
    <row r="11" spans="1:9" s="241" customFormat="1" ht="51" customHeight="1">
      <c r="A11" s="459"/>
      <c r="B11" s="242" t="s">
        <v>331</v>
      </c>
      <c r="C11" s="461"/>
      <c r="D11" s="459"/>
      <c r="E11" s="240">
        <f>'[7]расходы ЭТК 2 кв'!O$8*I11/(I$10+I$11)</f>
        <v>10043.603022405696</v>
      </c>
      <c r="F11" s="252">
        <f>'[7]расходы ЭТК 2 кв'!L8*I11/(I10+I11)</f>
        <v>7589.039786476869</v>
      </c>
      <c r="G11" s="252">
        <f>'[7]расходы ЭТК 2 кв'!M8*I11/(I10+I11)</f>
        <v>2307.0680950889678</v>
      </c>
      <c r="H11" s="252">
        <f>'[7]расходы ЭТК 2 кв'!K$6/4*I11/(I10+I11)</f>
        <v>147.49514083985767</v>
      </c>
      <c r="I11" s="241">
        <v>20.34</v>
      </c>
    </row>
    <row r="12" spans="1:9" s="241" customFormat="1" ht="51" customHeight="1">
      <c r="A12" s="458" t="str">
        <f>'[7]расходы ЭТК 2 кв'!A7</f>
        <v>Хабарова Ольга Викторовна</v>
      </c>
      <c r="B12" s="239" t="s">
        <v>6</v>
      </c>
      <c r="C12" s="460" t="str">
        <f>'[7]расходы ЭТК 2 кв'!B7</f>
        <v>14.04.2021 г.</v>
      </c>
      <c r="D12" s="458" t="str">
        <f>'[7]расходы ЭТК 2 кв'!C7</f>
        <v>51 от 23.12.2020 г.</v>
      </c>
      <c r="E12" s="240">
        <f>'[7]расходы ЭТК 2 кв'!O$7*I12/(I$12+I$13)</f>
        <v>6606.853905594308</v>
      </c>
      <c r="F12" s="252">
        <f>'[7]расходы ЭТК 2 кв'!L7*I12/(I12+I13)</f>
        <v>4992.200213523132</v>
      </c>
      <c r="G12" s="252">
        <f>'[7]расходы ЭТК 2 кв'!M7*I12/(I12+I13)</f>
        <v>1517.6288649110322</v>
      </c>
      <c r="H12" s="252">
        <f>'[7]расходы ЭТК 2 кв'!K$6/4*I12/(I12+I13)</f>
        <v>97.02482716014237</v>
      </c>
      <c r="I12" s="241">
        <v>13.38</v>
      </c>
    </row>
    <row r="13" spans="1:9" s="241" customFormat="1" ht="51" customHeight="1">
      <c r="A13" s="459"/>
      <c r="B13" s="242" t="s">
        <v>331</v>
      </c>
      <c r="C13" s="461"/>
      <c r="D13" s="459"/>
      <c r="E13" s="240">
        <f>'[7]расходы ЭТК 2 кв'!O$7*I13/(I$12+I$13)</f>
        <v>10043.603022405696</v>
      </c>
      <c r="F13" s="252">
        <f>'[7]расходы ЭТК 2 кв'!L7*I13/(I12+I13)</f>
        <v>7589.039786476869</v>
      </c>
      <c r="G13" s="252">
        <f>'[7]расходы ЭТК 2 кв'!M7*I13/(I12+I13)</f>
        <v>2307.0680950889678</v>
      </c>
      <c r="H13" s="252">
        <f>'[7]расходы ЭТК 2 кв'!K$6/4*I13/(I12+I13)</f>
        <v>147.49514083985767</v>
      </c>
      <c r="I13" s="241">
        <v>20.34</v>
      </c>
    </row>
    <row r="14" spans="1:8" s="244" customFormat="1" ht="12.75">
      <c r="A14" s="243" t="s">
        <v>195</v>
      </c>
      <c r="B14" s="243"/>
      <c r="C14" s="279"/>
      <c r="D14" s="243"/>
      <c r="E14" s="278">
        <f>SUM(E6:E13)</f>
        <v>66601.82771200003</v>
      </c>
      <c r="F14" s="278">
        <f>SUM(F6:F13)</f>
        <v>50324.96</v>
      </c>
      <c r="G14" s="278">
        <f>SUM(G6:G13)</f>
        <v>15298.787839999999</v>
      </c>
      <c r="H14" s="278">
        <f>SUM(H6:H13)</f>
        <v>978.079872</v>
      </c>
    </row>
    <row r="15" spans="1:8" s="247" customFormat="1" ht="76.5">
      <c r="A15" s="239"/>
      <c r="B15" s="239" t="s">
        <v>6</v>
      </c>
      <c r="C15" s="245"/>
      <c r="D15" s="239"/>
      <c r="E15" s="246">
        <f aca="true" t="shared" si="0" ref="E15:H16">E6+E8+E10+E12</f>
        <v>26427.415622377233</v>
      </c>
      <c r="F15" s="246">
        <f t="shared" si="0"/>
        <v>19968.80085409253</v>
      </c>
      <c r="G15" s="246">
        <f t="shared" si="0"/>
        <v>6070.515459644129</v>
      </c>
      <c r="H15" s="246">
        <f t="shared" si="0"/>
        <v>388.09930864056946</v>
      </c>
    </row>
    <row r="16" spans="1:8" s="247" customFormat="1" ht="51">
      <c r="A16" s="239"/>
      <c r="B16" s="239" t="s">
        <v>331</v>
      </c>
      <c r="C16" s="245"/>
      <c r="D16" s="239"/>
      <c r="E16" s="246">
        <f t="shared" si="0"/>
        <v>40174.41208962278</v>
      </c>
      <c r="F16" s="246">
        <f t="shared" si="0"/>
        <v>30356.159145907477</v>
      </c>
      <c r="G16" s="246">
        <f t="shared" si="0"/>
        <v>9228.272380355871</v>
      </c>
      <c r="H16" s="246">
        <f t="shared" si="0"/>
        <v>589.9805633594307</v>
      </c>
    </row>
    <row r="17" spans="2:8" s="247" customFormat="1" ht="12.75">
      <c r="B17" s="248"/>
      <c r="C17" s="249"/>
      <c r="E17" s="250"/>
      <c r="F17" s="250"/>
      <c r="G17" s="250"/>
      <c r="H17" s="250"/>
    </row>
    <row r="18" spans="2:8" s="247" customFormat="1" ht="12.75">
      <c r="B18" s="248"/>
      <c r="C18" s="249"/>
      <c r="E18" s="250"/>
      <c r="F18" s="250"/>
      <c r="G18" s="250"/>
      <c r="H18" s="250"/>
    </row>
    <row r="19" spans="2:8" s="247" customFormat="1" ht="12.75">
      <c r="B19" s="248"/>
      <c r="C19" s="249"/>
      <c r="E19" s="250"/>
      <c r="F19" s="250"/>
      <c r="G19" s="250"/>
      <c r="H19" s="250"/>
    </row>
    <row r="20" spans="1:8" s="251" customFormat="1" ht="15.75" customHeight="1">
      <c r="A20" s="456" t="s">
        <v>174</v>
      </c>
      <c r="B20" s="456"/>
      <c r="D20" s="457" t="s">
        <v>175</v>
      </c>
      <c r="E20" s="457"/>
      <c r="F20" s="287"/>
      <c r="G20" s="287"/>
      <c r="H20" s="287"/>
    </row>
    <row r="21" spans="3:8" s="247" customFormat="1" ht="12.75">
      <c r="C21" s="249"/>
      <c r="E21" s="250"/>
      <c r="F21" s="250"/>
      <c r="G21" s="250"/>
      <c r="H21" s="250"/>
    </row>
    <row r="22" spans="3:8" s="247" customFormat="1" ht="12.75">
      <c r="C22" s="249"/>
      <c r="E22" s="250"/>
      <c r="F22" s="250"/>
      <c r="G22" s="250"/>
      <c r="H22" s="250"/>
    </row>
    <row r="23" spans="3:8" s="247" customFormat="1" ht="12.75">
      <c r="C23" s="249"/>
      <c r="E23" s="250"/>
      <c r="F23" s="250"/>
      <c r="G23" s="250"/>
      <c r="H23" s="250"/>
    </row>
    <row r="24" spans="3:8" s="247" customFormat="1" ht="12.75">
      <c r="C24" s="249"/>
      <c r="E24" s="250"/>
      <c r="F24" s="250"/>
      <c r="G24" s="250"/>
      <c r="H24" s="250"/>
    </row>
    <row r="25" spans="3:8" s="247" customFormat="1" ht="12.75">
      <c r="C25" s="249"/>
      <c r="E25" s="250"/>
      <c r="F25" s="250"/>
      <c r="G25" s="250"/>
      <c r="H25" s="250"/>
    </row>
    <row r="26" spans="3:8" s="247" customFormat="1" ht="12.75">
      <c r="C26" s="249"/>
      <c r="E26" s="250"/>
      <c r="F26" s="250"/>
      <c r="G26" s="250"/>
      <c r="H26" s="250"/>
    </row>
    <row r="27" spans="3:8" s="247" customFormat="1" ht="12.75">
      <c r="C27" s="249"/>
      <c r="E27" s="250"/>
      <c r="F27" s="250"/>
      <c r="G27" s="250"/>
      <c r="H27" s="250"/>
    </row>
    <row r="28" spans="3:8" s="247" customFormat="1" ht="12.75">
      <c r="C28" s="249"/>
      <c r="E28" s="250"/>
      <c r="F28" s="250"/>
      <c r="G28" s="250"/>
      <c r="H28" s="250"/>
    </row>
    <row r="29" spans="3:8" s="247" customFormat="1" ht="12.75">
      <c r="C29" s="249"/>
      <c r="E29" s="250"/>
      <c r="F29" s="250"/>
      <c r="G29" s="250"/>
      <c r="H29" s="250"/>
    </row>
    <row r="30" spans="3:8" s="247" customFormat="1" ht="12.75">
      <c r="C30" s="249"/>
      <c r="E30" s="250"/>
      <c r="F30" s="250"/>
      <c r="G30" s="250"/>
      <c r="H30" s="250"/>
    </row>
    <row r="31" spans="3:8" s="247" customFormat="1" ht="12.75">
      <c r="C31" s="249"/>
      <c r="E31" s="250"/>
      <c r="F31" s="250"/>
      <c r="G31" s="250"/>
      <c r="H31" s="250"/>
    </row>
    <row r="32" spans="3:8" s="247" customFormat="1" ht="12.75">
      <c r="C32" s="249"/>
      <c r="E32" s="250"/>
      <c r="F32" s="250"/>
      <c r="G32" s="250"/>
      <c r="H32" s="250"/>
    </row>
  </sheetData>
  <sheetProtection/>
  <mergeCells count="21">
    <mergeCell ref="A8:A9"/>
    <mergeCell ref="A2:H2"/>
    <mergeCell ref="C8:C9"/>
    <mergeCell ref="D8:D9"/>
    <mergeCell ref="A4:A5"/>
    <mergeCell ref="B4:B5"/>
    <mergeCell ref="C4:C5"/>
    <mergeCell ref="D4:D5"/>
    <mergeCell ref="F4:H4"/>
    <mergeCell ref="A6:A7"/>
    <mergeCell ref="C6:C7"/>
    <mergeCell ref="A20:B20"/>
    <mergeCell ref="D20:E20"/>
    <mergeCell ref="A12:A13"/>
    <mergeCell ref="C12:C13"/>
    <mergeCell ref="D12:D13"/>
    <mergeCell ref="E4:E5"/>
    <mergeCell ref="A10:A11"/>
    <mergeCell ref="C10:C11"/>
    <mergeCell ref="D10:D11"/>
    <mergeCell ref="D6:D7"/>
  </mergeCells>
  <printOptions/>
  <pageMargins left="0.7874015748031497" right="0.3937007874015748" top="0.3937007874015748" bottom="0.3937007874015748" header="0.31496062992125984" footer="0.31496062992125984"/>
  <pageSetup fitToHeight="6" fitToWidth="1" horizontalDpi="1200" verticalDpi="12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63"/>
  <sheetViews>
    <sheetView zoomScalePageLayoutView="0" workbookViewId="0" topLeftCell="A1">
      <selection activeCell="J6" sqref="J6"/>
    </sheetView>
  </sheetViews>
  <sheetFormatPr defaultColWidth="9.140625" defaultRowHeight="15"/>
  <cols>
    <col min="2" max="2" width="30.140625" style="0" customWidth="1"/>
    <col min="3" max="4" width="12.421875" style="0" customWidth="1"/>
    <col min="5" max="5" width="18.28125" style="0" customWidth="1"/>
    <col min="6" max="6" width="13.8515625" style="0" customWidth="1"/>
    <col min="7" max="7" width="20.8515625" style="0" customWidth="1"/>
  </cols>
  <sheetData>
    <row r="3" spans="3:6" ht="15">
      <c r="C3" s="366" t="s">
        <v>529</v>
      </c>
      <c r="D3" s="366"/>
      <c r="E3" s="366"/>
      <c r="F3" s="366"/>
    </row>
    <row r="4" spans="3:6" ht="15">
      <c r="C4" s="366" t="s">
        <v>530</v>
      </c>
      <c r="D4" s="366"/>
      <c r="E4" s="366"/>
      <c r="F4" s="366"/>
    </row>
    <row r="5" spans="3:6" ht="15">
      <c r="C5" s="366" t="s">
        <v>531</v>
      </c>
      <c r="D5" s="366"/>
      <c r="E5" s="366"/>
      <c r="F5" s="366"/>
    </row>
    <row r="6" spans="3:6" ht="15">
      <c r="C6" s="366" t="s">
        <v>532</v>
      </c>
      <c r="D6" s="366"/>
      <c r="E6" s="366"/>
      <c r="F6" s="366"/>
    </row>
    <row r="7" spans="3:6" ht="15">
      <c r="C7" s="366" t="s">
        <v>533</v>
      </c>
      <c r="D7" s="366"/>
      <c r="E7" s="366"/>
      <c r="F7" s="366"/>
    </row>
    <row r="8" spans="3:6" ht="15">
      <c r="C8" s="366" t="s">
        <v>534</v>
      </c>
      <c r="D8" s="366"/>
      <c r="E8" s="366"/>
      <c r="F8" s="366"/>
    </row>
    <row r="9" spans="3:6" ht="15">
      <c r="C9" s="366" t="s">
        <v>535</v>
      </c>
      <c r="D9" s="366"/>
      <c r="E9" s="366"/>
      <c r="F9" s="366"/>
    </row>
    <row r="10" spans="3:6" ht="15">
      <c r="C10" s="367" t="s">
        <v>376</v>
      </c>
      <c r="D10" s="367"/>
      <c r="E10" s="367"/>
      <c r="F10" s="367"/>
    </row>
    <row r="11" spans="3:6" ht="15">
      <c r="C11" t="s">
        <v>536</v>
      </c>
      <c r="E11" s="333"/>
      <c r="F11" s="333"/>
    </row>
    <row r="12" spans="1:6" ht="13.5" customHeight="1">
      <c r="A12" t="s">
        <v>537</v>
      </c>
      <c r="C12" s="334"/>
      <c r="D12" s="334"/>
      <c r="E12" s="334"/>
      <c r="F12" s="334"/>
    </row>
    <row r="13" ht="12.75" customHeight="1" thickBot="1"/>
    <row r="14" ht="15.75" hidden="1" thickBot="1"/>
    <row r="15" ht="15.75" hidden="1" thickBot="1"/>
    <row r="16" spans="1:7" ht="115.5" thickBot="1">
      <c r="A16" s="335" t="s">
        <v>0</v>
      </c>
      <c r="B16" s="336" t="s">
        <v>538</v>
      </c>
      <c r="C16" s="336" t="s">
        <v>539</v>
      </c>
      <c r="D16" s="336" t="s">
        <v>540</v>
      </c>
      <c r="E16" s="336" t="s">
        <v>541</v>
      </c>
      <c r="F16" s="336" t="s">
        <v>542</v>
      </c>
      <c r="G16" s="336" t="s">
        <v>543</v>
      </c>
    </row>
    <row r="17" spans="1:7" ht="15.75" thickBot="1">
      <c r="A17" s="337">
        <v>1</v>
      </c>
      <c r="B17" s="338">
        <v>2</v>
      </c>
      <c r="C17" s="338">
        <v>3</v>
      </c>
      <c r="D17" s="338">
        <v>4</v>
      </c>
      <c r="E17" s="338">
        <v>5</v>
      </c>
      <c r="F17" s="338">
        <v>6</v>
      </c>
      <c r="G17" s="338">
        <v>7</v>
      </c>
    </row>
    <row r="18" spans="1:7" ht="15.75" thickBot="1">
      <c r="A18" s="337" t="s">
        <v>86</v>
      </c>
      <c r="B18" s="339" t="s">
        <v>544</v>
      </c>
      <c r="C18" s="338" t="s">
        <v>545</v>
      </c>
      <c r="D18" s="338" t="s">
        <v>545</v>
      </c>
      <c r="E18" s="338" t="s">
        <v>545</v>
      </c>
      <c r="F18" s="338" t="s">
        <v>545</v>
      </c>
      <c r="G18" s="338" t="s">
        <v>545</v>
      </c>
    </row>
    <row r="19" spans="1:7" ht="39" thickBot="1">
      <c r="A19" s="337" t="s">
        <v>546</v>
      </c>
      <c r="B19" s="339" t="s">
        <v>547</v>
      </c>
      <c r="C19" s="338" t="s">
        <v>545</v>
      </c>
      <c r="D19" s="338" t="s">
        <v>545</v>
      </c>
      <c r="E19" s="338" t="s">
        <v>545</v>
      </c>
      <c r="F19" s="338" t="s">
        <v>545</v>
      </c>
      <c r="G19" s="338" t="s">
        <v>545</v>
      </c>
    </row>
    <row r="20" spans="1:7" ht="39" thickBot="1">
      <c r="A20" s="337" t="s">
        <v>548</v>
      </c>
      <c r="B20" s="339" t="s">
        <v>549</v>
      </c>
      <c r="C20" s="338" t="s">
        <v>545</v>
      </c>
      <c r="D20" s="338" t="s">
        <v>545</v>
      </c>
      <c r="E20" s="338" t="s">
        <v>545</v>
      </c>
      <c r="F20" s="338" t="s">
        <v>545</v>
      </c>
      <c r="G20" s="338" t="s">
        <v>545</v>
      </c>
    </row>
    <row r="21" spans="1:7" ht="51.75" thickBot="1">
      <c r="A21" s="337" t="s">
        <v>550</v>
      </c>
      <c r="B21" s="339" t="s">
        <v>551</v>
      </c>
      <c r="C21" s="338" t="s">
        <v>545</v>
      </c>
      <c r="D21" s="338" t="s">
        <v>545</v>
      </c>
      <c r="E21" s="338" t="s">
        <v>545</v>
      </c>
      <c r="F21" s="338" t="s">
        <v>545</v>
      </c>
      <c r="G21" s="338" t="s">
        <v>545</v>
      </c>
    </row>
    <row r="22" spans="1:7" ht="141" thickBot="1">
      <c r="A22" s="340" t="s">
        <v>552</v>
      </c>
      <c r="B22" s="339" t="s">
        <v>553</v>
      </c>
      <c r="C22" s="341"/>
      <c r="D22" s="341"/>
      <c r="E22" s="341"/>
      <c r="F22" s="341"/>
      <c r="G22" s="341"/>
    </row>
    <row r="23" spans="1:7" ht="26.25" thickBot="1">
      <c r="A23" s="340" t="s">
        <v>554</v>
      </c>
      <c r="B23" s="339" t="s">
        <v>555</v>
      </c>
      <c r="C23" s="341"/>
      <c r="D23" s="341"/>
      <c r="E23" s="341"/>
      <c r="F23" s="341"/>
      <c r="G23" s="341"/>
    </row>
    <row r="24" spans="1:7" ht="51.75" thickBot="1">
      <c r="A24" s="340" t="s">
        <v>556</v>
      </c>
      <c r="B24" s="339" t="s">
        <v>557</v>
      </c>
      <c r="C24" s="341"/>
      <c r="D24" s="341"/>
      <c r="E24" s="341"/>
      <c r="F24" s="341"/>
      <c r="G24" s="341"/>
    </row>
    <row r="25" spans="1:7" ht="15.75" thickBot="1">
      <c r="A25" s="337" t="s">
        <v>558</v>
      </c>
      <c r="B25" s="339" t="s">
        <v>559</v>
      </c>
      <c r="C25" s="341"/>
      <c r="D25" s="341"/>
      <c r="E25" s="341"/>
      <c r="F25" s="341"/>
      <c r="G25" s="341"/>
    </row>
    <row r="26" spans="1:7" ht="15.75" thickBot="1">
      <c r="A26" s="337" t="s">
        <v>213</v>
      </c>
      <c r="B26" s="339" t="s">
        <v>232</v>
      </c>
      <c r="C26" s="338" t="s">
        <v>545</v>
      </c>
      <c r="D26" s="338" t="s">
        <v>545</v>
      </c>
      <c r="E26" s="338" t="s">
        <v>545</v>
      </c>
      <c r="F26" s="338" t="s">
        <v>545</v>
      </c>
      <c r="G26" s="338" t="s">
        <v>545</v>
      </c>
    </row>
    <row r="27" spans="1:7" ht="90" thickBot="1">
      <c r="A27" s="337" t="s">
        <v>560</v>
      </c>
      <c r="B27" s="339" t="s">
        <v>561</v>
      </c>
      <c r="C27" s="338" t="s">
        <v>545</v>
      </c>
      <c r="D27" s="338" t="s">
        <v>545</v>
      </c>
      <c r="E27" s="338" t="s">
        <v>545</v>
      </c>
      <c r="F27" s="338" t="s">
        <v>545</v>
      </c>
      <c r="G27" s="338" t="s">
        <v>545</v>
      </c>
    </row>
    <row r="28" spans="1:7" ht="26.25" thickBot="1">
      <c r="A28" s="337" t="s">
        <v>562</v>
      </c>
      <c r="B28" s="339" t="s">
        <v>563</v>
      </c>
      <c r="C28" s="338" t="s">
        <v>545</v>
      </c>
      <c r="D28" s="338" t="s">
        <v>545</v>
      </c>
      <c r="E28" s="338" t="s">
        <v>545</v>
      </c>
      <c r="F28" s="338" t="s">
        <v>545</v>
      </c>
      <c r="G28" s="338" t="s">
        <v>545</v>
      </c>
    </row>
    <row r="29" spans="1:7" ht="39" thickBot="1">
      <c r="A29" s="337" t="s">
        <v>564</v>
      </c>
      <c r="B29" s="339" t="s">
        <v>565</v>
      </c>
      <c r="C29" s="338" t="s">
        <v>545</v>
      </c>
      <c r="D29" s="338" t="s">
        <v>545</v>
      </c>
      <c r="E29" s="338" t="s">
        <v>545</v>
      </c>
      <c r="F29" s="338" t="s">
        <v>545</v>
      </c>
      <c r="G29" s="338" t="s">
        <v>545</v>
      </c>
    </row>
    <row r="30" spans="1:7" ht="230.25" thickBot="1">
      <c r="A30" s="340" t="s">
        <v>566</v>
      </c>
      <c r="B30" s="339" t="s">
        <v>567</v>
      </c>
      <c r="C30" s="341"/>
      <c r="D30" s="341"/>
      <c r="E30" s="341"/>
      <c r="F30" s="341"/>
      <c r="G30" s="341"/>
    </row>
    <row r="31" spans="1:7" ht="77.25" thickBot="1">
      <c r="A31" s="340" t="s">
        <v>568</v>
      </c>
      <c r="B31" s="339" t="s">
        <v>569</v>
      </c>
      <c r="C31" s="341"/>
      <c r="D31" s="341"/>
      <c r="E31" s="341"/>
      <c r="F31" s="341"/>
      <c r="G31" s="341"/>
    </row>
    <row r="32" spans="1:7" ht="15.75" thickBot="1">
      <c r="A32" s="337" t="s">
        <v>558</v>
      </c>
      <c r="B32" s="339" t="s">
        <v>559</v>
      </c>
      <c r="C32" s="341"/>
      <c r="D32" s="341"/>
      <c r="E32" s="341"/>
      <c r="F32" s="341"/>
      <c r="G32" s="341"/>
    </row>
    <row r="33" spans="1:7" ht="26.25" thickBot="1">
      <c r="A33" s="337" t="s">
        <v>227</v>
      </c>
      <c r="B33" s="339" t="s">
        <v>234</v>
      </c>
      <c r="C33" s="338" t="s">
        <v>545</v>
      </c>
      <c r="D33" s="338" t="s">
        <v>545</v>
      </c>
      <c r="E33" s="338" t="s">
        <v>545</v>
      </c>
      <c r="F33" s="338" t="s">
        <v>545</v>
      </c>
      <c r="G33" s="338" t="s">
        <v>545</v>
      </c>
    </row>
    <row r="34" spans="1:7" ht="217.5" thickBot="1">
      <c r="A34" s="340" t="s">
        <v>570</v>
      </c>
      <c r="B34" s="339" t="s">
        <v>571</v>
      </c>
      <c r="C34" s="338" t="s">
        <v>545</v>
      </c>
      <c r="D34" s="338" t="s">
        <v>545</v>
      </c>
      <c r="E34" s="338" t="s">
        <v>545</v>
      </c>
      <c r="F34" s="338" t="s">
        <v>545</v>
      </c>
      <c r="G34" s="338" t="s">
        <v>545</v>
      </c>
    </row>
    <row r="35" spans="1:7" ht="90" thickBot="1">
      <c r="A35" s="340" t="s">
        <v>572</v>
      </c>
      <c r="B35" s="339" t="s">
        <v>573</v>
      </c>
      <c r="C35" s="341"/>
      <c r="D35" s="341"/>
      <c r="E35" s="341"/>
      <c r="F35" s="341"/>
      <c r="G35" s="341"/>
    </row>
    <row r="36" spans="1:7" ht="102.75" thickBot="1">
      <c r="A36" s="340" t="s">
        <v>574</v>
      </c>
      <c r="B36" s="339" t="s">
        <v>575</v>
      </c>
      <c r="C36" s="341"/>
      <c r="D36" s="341"/>
      <c r="E36" s="341"/>
      <c r="F36" s="341"/>
      <c r="G36" s="341"/>
    </row>
    <row r="37" spans="1:7" ht="15.75" thickBot="1">
      <c r="A37" s="337" t="s">
        <v>558</v>
      </c>
      <c r="B37" s="339" t="s">
        <v>559</v>
      </c>
      <c r="C37" s="341"/>
      <c r="D37" s="341"/>
      <c r="E37" s="341"/>
      <c r="F37" s="341"/>
      <c r="G37" s="341"/>
    </row>
    <row r="38" spans="1:7" ht="90" thickBot="1">
      <c r="A38" s="337" t="s">
        <v>239</v>
      </c>
      <c r="B38" s="339" t="s">
        <v>576</v>
      </c>
      <c r="C38" s="338" t="s">
        <v>545</v>
      </c>
      <c r="D38" s="338" t="s">
        <v>545</v>
      </c>
      <c r="E38" s="338" t="s">
        <v>545</v>
      </c>
      <c r="F38" s="338" t="s">
        <v>545</v>
      </c>
      <c r="G38" s="338" t="s">
        <v>545</v>
      </c>
    </row>
    <row r="39" spans="1:7" ht="102.75" thickBot="1">
      <c r="A39" s="340" t="s">
        <v>577</v>
      </c>
      <c r="B39" s="339" t="s">
        <v>578</v>
      </c>
      <c r="C39" s="341"/>
      <c r="D39" s="341"/>
      <c r="E39" s="341"/>
      <c r="F39" s="341"/>
      <c r="G39" s="341"/>
    </row>
    <row r="40" spans="1:7" ht="39" thickBot="1">
      <c r="A40" s="337" t="s">
        <v>579</v>
      </c>
      <c r="B40" s="339" t="s">
        <v>580</v>
      </c>
      <c r="C40" s="338" t="s">
        <v>545</v>
      </c>
      <c r="D40" s="338" t="s">
        <v>545</v>
      </c>
      <c r="E40" s="338" t="s">
        <v>545</v>
      </c>
      <c r="F40" s="338" t="s">
        <v>545</v>
      </c>
      <c r="G40" s="338" t="s">
        <v>545</v>
      </c>
    </row>
    <row r="41" spans="1:7" ht="217.5" thickBot="1">
      <c r="A41" s="340" t="s">
        <v>581</v>
      </c>
      <c r="B41" s="339" t="s">
        <v>582</v>
      </c>
      <c r="C41" s="341"/>
      <c r="D41" s="341"/>
      <c r="E41" s="341"/>
      <c r="F41" s="341"/>
      <c r="G41" s="341"/>
    </row>
    <row r="42" spans="1:7" ht="51.75" thickBot="1">
      <c r="A42" s="340" t="s">
        <v>583</v>
      </c>
      <c r="B42" s="339" t="s">
        <v>584</v>
      </c>
      <c r="C42" s="341"/>
      <c r="D42" s="341"/>
      <c r="E42" s="341"/>
      <c r="F42" s="341"/>
      <c r="G42" s="341"/>
    </row>
    <row r="43" spans="1:7" ht="15.75" thickBot="1">
      <c r="A43" s="337" t="s">
        <v>558</v>
      </c>
      <c r="B43" s="339" t="s">
        <v>559</v>
      </c>
      <c r="C43" s="341"/>
      <c r="D43" s="341"/>
      <c r="E43" s="341"/>
      <c r="F43" s="341"/>
      <c r="G43" s="341"/>
    </row>
    <row r="44" spans="1:7" ht="64.5" thickBot="1">
      <c r="A44" s="337" t="s">
        <v>241</v>
      </c>
      <c r="B44" s="339" t="s">
        <v>585</v>
      </c>
      <c r="C44" s="338" t="s">
        <v>545</v>
      </c>
      <c r="D44" s="338" t="s">
        <v>545</v>
      </c>
      <c r="E44" s="338" t="s">
        <v>545</v>
      </c>
      <c r="F44" s="338" t="s">
        <v>545</v>
      </c>
      <c r="G44" s="338" t="s">
        <v>545</v>
      </c>
    </row>
    <row r="45" spans="1:7" ht="39" thickBot="1">
      <c r="A45" s="337" t="s">
        <v>586</v>
      </c>
      <c r="B45" s="339" t="s">
        <v>587</v>
      </c>
      <c r="C45" s="338" t="s">
        <v>545</v>
      </c>
      <c r="D45" s="338" t="s">
        <v>545</v>
      </c>
      <c r="E45" s="338" t="s">
        <v>545</v>
      </c>
      <c r="F45" s="338" t="s">
        <v>545</v>
      </c>
      <c r="G45" s="338" t="s">
        <v>545</v>
      </c>
    </row>
    <row r="46" spans="1:7" ht="39" thickBot="1">
      <c r="A46" s="337" t="s">
        <v>588</v>
      </c>
      <c r="B46" s="339" t="s">
        <v>580</v>
      </c>
      <c r="C46" s="338" t="s">
        <v>545</v>
      </c>
      <c r="D46" s="338" t="s">
        <v>545</v>
      </c>
      <c r="E46" s="338" t="s">
        <v>545</v>
      </c>
      <c r="F46" s="338" t="s">
        <v>545</v>
      </c>
      <c r="G46" s="338" t="s">
        <v>545</v>
      </c>
    </row>
    <row r="47" spans="1:7" ht="192" thickBot="1">
      <c r="A47" s="340" t="s">
        <v>589</v>
      </c>
      <c r="B47" s="339" t="s">
        <v>590</v>
      </c>
      <c r="C47" s="341"/>
      <c r="D47" s="341"/>
      <c r="E47" s="341"/>
      <c r="F47" s="341"/>
      <c r="G47" s="341"/>
    </row>
    <row r="48" spans="1:7" ht="15.75" thickBot="1">
      <c r="A48" s="337" t="s">
        <v>558</v>
      </c>
      <c r="B48" s="339" t="s">
        <v>559</v>
      </c>
      <c r="C48" s="341"/>
      <c r="D48" s="341"/>
      <c r="E48" s="341"/>
      <c r="F48" s="341"/>
      <c r="G48" s="341"/>
    </row>
    <row r="49" spans="1:7" ht="39" thickBot="1">
      <c r="A49" s="337" t="s">
        <v>152</v>
      </c>
      <c r="B49" s="339" t="s">
        <v>238</v>
      </c>
      <c r="C49" s="338" t="s">
        <v>545</v>
      </c>
      <c r="D49" s="338" t="s">
        <v>545</v>
      </c>
      <c r="E49" s="338" t="s">
        <v>545</v>
      </c>
      <c r="F49" s="338" t="s">
        <v>545</v>
      </c>
      <c r="G49" s="338" t="s">
        <v>545</v>
      </c>
    </row>
    <row r="50" spans="1:7" ht="26.25" thickBot="1">
      <c r="A50" s="340" t="s">
        <v>591</v>
      </c>
      <c r="B50" s="341" t="s">
        <v>592</v>
      </c>
      <c r="C50" s="341"/>
      <c r="D50" s="341"/>
      <c r="E50" s="341"/>
      <c r="F50" s="341"/>
      <c r="G50" s="341"/>
    </row>
    <row r="51" spans="1:7" ht="179.25" thickBot="1">
      <c r="A51" s="340" t="s">
        <v>593</v>
      </c>
      <c r="B51" s="339" t="s">
        <v>594</v>
      </c>
      <c r="C51" s="341"/>
      <c r="D51" s="341"/>
      <c r="E51" s="341"/>
      <c r="F51" s="341"/>
      <c r="G51" s="341"/>
    </row>
    <row r="52" spans="1:7" ht="15.75" thickBot="1">
      <c r="A52" s="337" t="s">
        <v>558</v>
      </c>
      <c r="B52" s="339" t="s">
        <v>559</v>
      </c>
      <c r="C52" s="341"/>
      <c r="D52" s="341"/>
      <c r="E52" s="341"/>
      <c r="F52" s="341"/>
      <c r="G52" s="341"/>
    </row>
    <row r="53" spans="1:7" ht="51.75" thickBot="1">
      <c r="A53" s="337" t="s">
        <v>595</v>
      </c>
      <c r="B53" s="341" t="s">
        <v>596</v>
      </c>
      <c r="C53" s="341" t="s">
        <v>545</v>
      </c>
      <c r="D53" s="341" t="s">
        <v>545</v>
      </c>
      <c r="E53" s="341" t="s">
        <v>545</v>
      </c>
      <c r="F53" s="341" t="s">
        <v>545</v>
      </c>
      <c r="G53" s="341" t="s">
        <v>545</v>
      </c>
    </row>
    <row r="54" spans="1:7" ht="15">
      <c r="A54" s="362" t="s">
        <v>597</v>
      </c>
      <c r="B54" s="342" t="s">
        <v>598</v>
      </c>
      <c r="C54" s="360"/>
      <c r="D54" s="360"/>
      <c r="E54" s="360"/>
      <c r="F54" s="360"/>
      <c r="G54" s="360"/>
    </row>
    <row r="55" spans="1:7" ht="15.75" thickBot="1">
      <c r="A55" s="364"/>
      <c r="B55" s="341" t="s">
        <v>599</v>
      </c>
      <c r="C55" s="361"/>
      <c r="D55" s="361"/>
      <c r="E55" s="361"/>
      <c r="F55" s="361"/>
      <c r="G55" s="361"/>
    </row>
    <row r="56" spans="1:7" ht="15">
      <c r="A56" s="362" t="s">
        <v>600</v>
      </c>
      <c r="B56" s="342" t="s">
        <v>601</v>
      </c>
      <c r="C56" s="360"/>
      <c r="D56" s="360"/>
      <c r="E56" s="360"/>
      <c r="F56" s="360"/>
      <c r="G56" s="360"/>
    </row>
    <row r="57" spans="1:7" ht="25.5">
      <c r="A57" s="363"/>
      <c r="B57" s="342" t="s">
        <v>602</v>
      </c>
      <c r="C57" s="365"/>
      <c r="D57" s="365"/>
      <c r="E57" s="365"/>
      <c r="F57" s="365"/>
      <c r="G57" s="365"/>
    </row>
    <row r="58" spans="1:7" ht="15.75" thickBot="1">
      <c r="A58" s="364"/>
      <c r="B58" s="341" t="s">
        <v>603</v>
      </c>
      <c r="C58" s="361"/>
      <c r="D58" s="361"/>
      <c r="E58" s="361"/>
      <c r="F58" s="361"/>
      <c r="G58" s="361"/>
    </row>
    <row r="59" spans="1:7" ht="15.75" thickBot="1">
      <c r="A59" s="337" t="s">
        <v>558</v>
      </c>
      <c r="B59" s="341" t="s">
        <v>559</v>
      </c>
      <c r="C59" s="341"/>
      <c r="D59" s="341"/>
      <c r="E59" s="341"/>
      <c r="F59" s="341"/>
      <c r="G59" s="341"/>
    </row>
    <row r="61" spans="1:7" ht="54" customHeight="1">
      <c r="A61" s="359" t="s">
        <v>604</v>
      </c>
      <c r="B61" s="359"/>
      <c r="C61" s="359"/>
      <c r="D61" s="359"/>
      <c r="E61" s="359"/>
      <c r="F61" s="359"/>
      <c r="G61" s="359"/>
    </row>
    <row r="63" ht="15">
      <c r="A63" s="343" t="s">
        <v>605</v>
      </c>
    </row>
  </sheetData>
  <sheetProtection/>
  <mergeCells count="21">
    <mergeCell ref="C3:F3"/>
    <mergeCell ref="C4:F4"/>
    <mergeCell ref="C5:F5"/>
    <mergeCell ref="C6:F6"/>
    <mergeCell ref="C7:F7"/>
    <mergeCell ref="C8:F8"/>
    <mergeCell ref="C9:F9"/>
    <mergeCell ref="C10:F10"/>
    <mergeCell ref="A54:A55"/>
    <mergeCell ref="C54:C55"/>
    <mergeCell ref="D54:D55"/>
    <mergeCell ref="E54:E55"/>
    <mergeCell ref="F54:F55"/>
    <mergeCell ref="A61:G61"/>
    <mergeCell ref="G54:G55"/>
    <mergeCell ref="A56:A58"/>
    <mergeCell ref="C56:C58"/>
    <mergeCell ref="D56:D58"/>
    <mergeCell ref="E56:E58"/>
    <mergeCell ref="F56:F58"/>
    <mergeCell ref="G56:G5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13.57421875" style="0" customWidth="1"/>
  </cols>
  <sheetData>
    <row r="1" ht="90">
      <c r="A1" s="2" t="s">
        <v>606</v>
      </c>
    </row>
    <row r="6" ht="15">
      <c r="A6" s="344" t="s">
        <v>607</v>
      </c>
    </row>
    <row r="7" ht="15">
      <c r="A7" s="345"/>
    </row>
    <row r="8" ht="15">
      <c r="A8" s="344" t="s">
        <v>608</v>
      </c>
    </row>
    <row r="9" ht="15">
      <c r="A9" s="344" t="s">
        <v>609</v>
      </c>
    </row>
    <row r="10" ht="15">
      <c r="A10" s="345"/>
    </row>
    <row r="11" ht="15">
      <c r="A11" s="344" t="s">
        <v>610</v>
      </c>
    </row>
    <row r="12" ht="15">
      <c r="A12" s="344" t="s">
        <v>611</v>
      </c>
    </row>
    <row r="13" ht="15">
      <c r="A13" s="344" t="s">
        <v>612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X1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6.140625" style="253" customWidth="1"/>
    <col min="2" max="2" width="65.7109375" style="253" customWidth="1"/>
    <col min="3" max="3" width="12.7109375" style="253" customWidth="1"/>
    <col min="4" max="4" width="15.28125" style="253" customWidth="1"/>
    <col min="5" max="5" width="14.8515625" style="253" customWidth="1"/>
    <col min="6" max="16384" width="9.140625" style="253" customWidth="1"/>
  </cols>
  <sheetData>
    <row r="1" spans="1:5" ht="15.75">
      <c r="A1" s="358" t="s">
        <v>613</v>
      </c>
      <c r="B1" s="358"/>
      <c r="C1" s="358"/>
      <c r="D1" s="358"/>
      <c r="E1" s="358"/>
    </row>
    <row r="2" spans="1:5" ht="54" customHeight="1">
      <c r="A2" s="370" t="s">
        <v>614</v>
      </c>
      <c r="B2" s="370"/>
      <c r="C2" s="370"/>
      <c r="D2" s="370"/>
      <c r="E2" s="370"/>
    </row>
    <row r="3" spans="1:5" ht="15.75">
      <c r="A3" s="346" t="str">
        <f>'[8]Прогнозные сведения о расходах'!A3</f>
        <v>АО "Электротехнический комплекс"</v>
      </c>
      <c r="C3" s="347" t="s">
        <v>615</v>
      </c>
      <c r="D3" s="348">
        <v>2022</v>
      </c>
      <c r="E3" s="253" t="s">
        <v>372</v>
      </c>
    </row>
    <row r="5" spans="1:5" ht="30.75" customHeight="1">
      <c r="A5" s="371" t="s">
        <v>616</v>
      </c>
      <c r="B5" s="371"/>
      <c r="C5" s="371" t="s">
        <v>617</v>
      </c>
      <c r="D5" s="371" t="s">
        <v>618</v>
      </c>
      <c r="E5" s="371"/>
    </row>
    <row r="6" spans="1:5" ht="34.5" customHeight="1">
      <c r="A6" s="371"/>
      <c r="B6" s="371"/>
      <c r="C6" s="371"/>
      <c r="D6" s="254" t="s">
        <v>619</v>
      </c>
      <c r="E6" s="254" t="s">
        <v>620</v>
      </c>
    </row>
    <row r="7" spans="1:5" ht="157.5">
      <c r="A7" s="349" t="s">
        <v>621</v>
      </c>
      <c r="B7" s="325" t="s">
        <v>622</v>
      </c>
      <c r="C7" s="349" t="s">
        <v>623</v>
      </c>
      <c r="D7" s="350">
        <f>D8+D9+D10+D11</f>
        <v>68.52936031532673</v>
      </c>
      <c r="E7" s="350">
        <f>E8+E9+E11</f>
        <v>62.44869751340477</v>
      </c>
    </row>
    <row r="8" spans="1:5" s="329" customFormat="1" ht="47.25">
      <c r="A8" s="349" t="s">
        <v>624</v>
      </c>
      <c r="B8" s="325" t="s">
        <v>625</v>
      </c>
      <c r="C8" s="349" t="s">
        <v>623</v>
      </c>
      <c r="D8" s="353">
        <f>'стоимость мероприятий'!$G$7</f>
        <v>39.63500569477123</v>
      </c>
      <c r="E8" s="353">
        <f>D8</f>
        <v>39.63500569477123</v>
      </c>
    </row>
    <row r="9" spans="1:46" s="329" customFormat="1" ht="47.25">
      <c r="A9" s="349" t="s">
        <v>626</v>
      </c>
      <c r="B9" s="325" t="s">
        <v>627</v>
      </c>
      <c r="C9" s="349" t="s">
        <v>628</v>
      </c>
      <c r="D9" s="354">
        <f>'стоимость мероприятий'!$G$31</f>
        <v>15.291309630653956</v>
      </c>
      <c r="E9" s="353">
        <f>D9</f>
        <v>15.291309630653956</v>
      </c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</row>
    <row r="10" spans="1:46" s="329" customFormat="1" ht="63">
      <c r="A10" s="349" t="s">
        <v>629</v>
      </c>
      <c r="B10" s="325" t="s">
        <v>630</v>
      </c>
      <c r="C10" s="349" t="s">
        <v>628</v>
      </c>
      <c r="D10" s="354">
        <f>'стоимость мероприятий'!$G$34</f>
        <v>6.080662801921952</v>
      </c>
      <c r="E10" s="355" t="s">
        <v>631</v>
      </c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</row>
    <row r="11" spans="1:46" s="329" customFormat="1" ht="78.75">
      <c r="A11" s="349" t="s">
        <v>632</v>
      </c>
      <c r="B11" s="325" t="s">
        <v>633</v>
      </c>
      <c r="C11" s="349" t="s">
        <v>623</v>
      </c>
      <c r="D11" s="354">
        <f>'стоимость мероприятий'!$G$36</f>
        <v>7.522382187979584</v>
      </c>
      <c r="E11" s="354">
        <f>D11</f>
        <v>7.522382187979584</v>
      </c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</row>
    <row r="12" spans="1:46" s="329" customFormat="1" ht="126">
      <c r="A12" s="349" t="s">
        <v>634</v>
      </c>
      <c r="B12" s="325" t="s">
        <v>635</v>
      </c>
      <c r="C12" s="349" t="s">
        <v>636</v>
      </c>
      <c r="D12" s="325" t="s">
        <v>637</v>
      </c>
      <c r="E12" s="325" t="s">
        <v>637</v>
      </c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</row>
    <row r="13" spans="1:46" s="329" customFormat="1" ht="126">
      <c r="A13" s="349" t="s">
        <v>638</v>
      </c>
      <c r="B13" s="325" t="s">
        <v>639</v>
      </c>
      <c r="C13" s="349" t="s">
        <v>636</v>
      </c>
      <c r="D13" s="325" t="s">
        <v>637</v>
      </c>
      <c r="E13" s="325" t="s">
        <v>637</v>
      </c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</row>
    <row r="14" spans="1:46" s="329" customFormat="1" ht="110.25">
      <c r="A14" s="349" t="s">
        <v>640</v>
      </c>
      <c r="B14" s="325" t="s">
        <v>641</v>
      </c>
      <c r="C14" s="349" t="s">
        <v>623</v>
      </c>
      <c r="D14" s="325" t="s">
        <v>637</v>
      </c>
      <c r="E14" s="325" t="s">
        <v>637</v>
      </c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</row>
    <row r="15" s="329" customFormat="1" ht="15.75"/>
    <row r="16" spans="1:102" ht="52.5" customHeight="1">
      <c r="A16" s="372" t="s">
        <v>642</v>
      </c>
      <c r="B16" s="373"/>
      <c r="C16" s="373"/>
      <c r="D16" s="373"/>
      <c r="E16" s="373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  <c r="AQ16" s="352"/>
      <c r="AR16" s="352"/>
      <c r="AS16" s="352"/>
      <c r="AT16" s="352"/>
      <c r="AU16" s="352"/>
      <c r="AV16" s="352"/>
      <c r="AW16" s="352"/>
      <c r="AX16" s="352"/>
      <c r="AY16" s="352"/>
      <c r="AZ16" s="352"/>
      <c r="BA16" s="352"/>
      <c r="BB16" s="352"/>
      <c r="BC16" s="352"/>
      <c r="BD16" s="352"/>
      <c r="BE16" s="352"/>
      <c r="BF16" s="352"/>
      <c r="BG16" s="352"/>
      <c r="BH16" s="352"/>
      <c r="BI16" s="352"/>
      <c r="BJ16" s="352"/>
      <c r="BK16" s="352"/>
      <c r="BL16" s="352"/>
      <c r="BM16" s="352"/>
      <c r="BN16" s="352"/>
      <c r="BO16" s="352"/>
      <c r="BP16" s="352"/>
      <c r="BQ16" s="352"/>
      <c r="BR16" s="352"/>
      <c r="BS16" s="352"/>
      <c r="BT16" s="352"/>
      <c r="BU16" s="352"/>
      <c r="BV16" s="352"/>
      <c r="BW16" s="352"/>
      <c r="BX16" s="352"/>
      <c r="BY16" s="352"/>
      <c r="BZ16" s="352"/>
      <c r="CA16" s="352"/>
      <c r="CB16" s="352"/>
      <c r="CC16" s="352"/>
      <c r="CD16" s="352"/>
      <c r="CE16" s="352"/>
      <c r="CF16" s="352"/>
      <c r="CG16" s="352"/>
      <c r="CH16" s="352"/>
      <c r="CI16" s="352"/>
      <c r="CJ16" s="352"/>
      <c r="CK16" s="352"/>
      <c r="CL16" s="352"/>
      <c r="CM16" s="352"/>
      <c r="CN16" s="352"/>
      <c r="CO16" s="352"/>
      <c r="CP16" s="352"/>
      <c r="CQ16" s="352"/>
      <c r="CR16" s="352"/>
      <c r="CS16" s="352"/>
      <c r="CT16" s="352"/>
      <c r="CU16" s="352"/>
      <c r="CV16" s="352"/>
      <c r="CW16" s="352"/>
      <c r="CX16" s="352"/>
    </row>
    <row r="17" spans="1:5" ht="31.5" customHeight="1">
      <c r="A17" s="368" t="s">
        <v>643</v>
      </c>
      <c r="B17" s="369"/>
      <c r="C17" s="369"/>
      <c r="D17" s="369"/>
      <c r="E17" s="369"/>
    </row>
  </sheetData>
  <sheetProtection/>
  <mergeCells count="7">
    <mergeCell ref="A17:E17"/>
    <mergeCell ref="A1:E1"/>
    <mergeCell ref="A2:E2"/>
    <mergeCell ref="A5:B6"/>
    <mergeCell ref="C5:C6"/>
    <mergeCell ref="D5:E5"/>
    <mergeCell ref="A16:E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view="pageBreakPreview" zoomScaleSheetLayoutView="100" zoomScalePageLayoutView="0" workbookViewId="0" topLeftCell="A1">
      <selection activeCell="E16" sqref="E16"/>
    </sheetView>
  </sheetViews>
  <sheetFormatPr defaultColWidth="9.140625" defaultRowHeight="15"/>
  <cols>
    <col min="1" max="1" width="6.00390625" style="1" bestFit="1" customWidth="1"/>
    <col min="2" max="2" width="73.00390625" style="0" bestFit="1" customWidth="1"/>
    <col min="3" max="3" width="14.28125" style="0" customWidth="1"/>
    <col min="4" max="4" width="16.57421875" style="0" customWidth="1"/>
    <col min="5" max="5" width="14.7109375" style="0" customWidth="1"/>
    <col min="6" max="6" width="16.57421875" style="0" customWidth="1"/>
  </cols>
  <sheetData>
    <row r="1" spans="1:6" ht="15">
      <c r="A1" s="374" t="s">
        <v>51</v>
      </c>
      <c r="B1" s="374"/>
      <c r="C1" s="374"/>
      <c r="D1" s="374"/>
      <c r="E1" s="374"/>
      <c r="F1" s="374"/>
    </row>
    <row r="2" spans="1:6" ht="15">
      <c r="A2" s="374" t="s">
        <v>49</v>
      </c>
      <c r="B2" s="374"/>
      <c r="C2" s="374"/>
      <c r="D2" s="374"/>
      <c r="E2" s="374"/>
      <c r="F2" s="374"/>
    </row>
    <row r="3" spans="1:6" ht="15">
      <c r="A3" s="377" t="s">
        <v>50</v>
      </c>
      <c r="B3" s="377"/>
      <c r="C3" s="377"/>
      <c r="D3" s="377"/>
      <c r="E3" s="377"/>
      <c r="F3" s="377"/>
    </row>
    <row r="4" spans="1:6" ht="15">
      <c r="A4" s="377" t="s">
        <v>527</v>
      </c>
      <c r="B4" s="377"/>
      <c r="C4" s="377"/>
      <c r="D4" s="377"/>
      <c r="E4" s="377"/>
      <c r="F4" s="377"/>
    </row>
    <row r="5" ht="15">
      <c r="F5" s="22" t="s">
        <v>63</v>
      </c>
    </row>
    <row r="6" spans="1:6" s="3" customFormat="1" ht="33.75" customHeight="1">
      <c r="A6" s="376" t="s">
        <v>0</v>
      </c>
      <c r="B6" s="375" t="s">
        <v>1</v>
      </c>
      <c r="C6" s="375" t="s">
        <v>2</v>
      </c>
      <c r="D6" s="375"/>
      <c r="E6" s="375"/>
      <c r="F6" s="375" t="s">
        <v>8</v>
      </c>
    </row>
    <row r="7" spans="1:6" s="1" customFormat="1" ht="75">
      <c r="A7" s="376"/>
      <c r="B7" s="375"/>
      <c r="C7" s="6" t="s">
        <v>3</v>
      </c>
      <c r="D7" s="6" t="s">
        <v>4</v>
      </c>
      <c r="E7" s="6" t="s">
        <v>5</v>
      </c>
      <c r="F7" s="375"/>
    </row>
    <row r="8" spans="1:6" s="1" customFormat="1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</row>
    <row r="9" spans="1:6" s="285" customFormat="1" ht="15">
      <c r="A9" s="7"/>
      <c r="B9" s="284" t="s">
        <v>408</v>
      </c>
      <c r="C9" s="7"/>
      <c r="D9" s="7"/>
      <c r="E9" s="7"/>
      <c r="F9" s="7"/>
    </row>
    <row r="10" spans="1:6" s="285" customFormat="1" ht="15">
      <c r="A10" s="7"/>
      <c r="B10" s="231" t="s">
        <v>6</v>
      </c>
      <c r="C10" s="223">
        <f>'стоимость мероприятий'!E7</f>
        <v>125246.61799547709</v>
      </c>
      <c r="D10" s="31">
        <v>4</v>
      </c>
      <c r="E10" s="223">
        <f>'стоимость мероприятий'!F7</f>
        <v>3160</v>
      </c>
      <c r="F10" s="19">
        <f>C10/D10</f>
        <v>31311.654498869273</v>
      </c>
    </row>
    <row r="11" spans="1:6" s="285" customFormat="1" ht="15">
      <c r="A11" s="7"/>
      <c r="B11" s="231" t="s">
        <v>7</v>
      </c>
      <c r="C11" s="223">
        <f>'стоимость мероприятий'!E31+'стоимость мероприятий'!E34+'стоимость мероприятий'!E36</f>
        <v>91306.16060095537</v>
      </c>
      <c r="D11" s="31">
        <v>4</v>
      </c>
      <c r="E11" s="223">
        <f>E10</f>
        <v>3160</v>
      </c>
      <c r="F11" s="19">
        <f>C11/D11</f>
        <v>22826.54015023884</v>
      </c>
    </row>
    <row r="12" spans="1:6" s="277" customFormat="1" ht="15">
      <c r="A12" s="7"/>
      <c r="B12" s="276" t="s">
        <v>396</v>
      </c>
      <c r="C12" s="7"/>
      <c r="D12" s="7"/>
      <c r="E12" s="7"/>
      <c r="F12" s="7"/>
    </row>
    <row r="13" spans="1:6" s="277" customFormat="1" ht="15">
      <c r="A13" s="31">
        <v>1</v>
      </c>
      <c r="B13" s="231" t="s">
        <v>6</v>
      </c>
      <c r="C13" s="223">
        <f>'[7]расходы ЭТК свод год'!$E$21</f>
        <v>26427.415622377233</v>
      </c>
      <c r="D13" s="31">
        <v>4</v>
      </c>
      <c r="E13" s="31">
        <v>60</v>
      </c>
      <c r="F13" s="19">
        <f>C13/D13</f>
        <v>6606.853905594308</v>
      </c>
    </row>
    <row r="14" spans="1:6" s="277" customFormat="1" ht="15">
      <c r="A14" s="31">
        <v>2</v>
      </c>
      <c r="B14" s="231" t="s">
        <v>7</v>
      </c>
      <c r="C14" s="223">
        <f>'[7]расходы ЭТК свод год'!$E$22</f>
        <v>40174.41208962278</v>
      </c>
      <c r="D14" s="31">
        <v>4</v>
      </c>
      <c r="E14" s="31">
        <v>60</v>
      </c>
      <c r="F14" s="19">
        <f>C14/D14</f>
        <v>10043.603022405696</v>
      </c>
    </row>
    <row r="15" spans="1:6" s="1" customFormat="1" ht="15">
      <c r="A15" s="7"/>
      <c r="B15" s="225" t="s">
        <v>318</v>
      </c>
      <c r="C15" s="31"/>
      <c r="D15" s="31"/>
      <c r="E15" s="31"/>
      <c r="F15" s="31"/>
    </row>
    <row r="16" spans="1:6" s="232" customFormat="1" ht="15">
      <c r="A16" s="31">
        <v>3</v>
      </c>
      <c r="B16" s="231" t="s">
        <v>6</v>
      </c>
      <c r="C16" s="223">
        <f>'[5]расходы ЭТК свод год'!$E$21</f>
        <v>92656.82567872235</v>
      </c>
      <c r="D16" s="31">
        <v>3</v>
      </c>
      <c r="E16" s="31">
        <f>15+140+1.5</f>
        <v>156.5</v>
      </c>
      <c r="F16" s="19">
        <f>C16/D16</f>
        <v>30885.608559574117</v>
      </c>
    </row>
    <row r="17" spans="1:6" s="232" customFormat="1" ht="15">
      <c r="A17" s="31">
        <v>4</v>
      </c>
      <c r="B17" s="231" t="s">
        <v>7</v>
      </c>
      <c r="C17" s="223">
        <f>'[5]расходы ЭТК свод год'!$E$22</f>
        <v>77113.54365947764</v>
      </c>
      <c r="D17" s="31">
        <v>3</v>
      </c>
      <c r="E17" s="31">
        <f>E16</f>
        <v>156.5</v>
      </c>
      <c r="F17" s="19">
        <f>C17/D17</f>
        <v>25704.514553159213</v>
      </c>
    </row>
    <row r="18" spans="1:6" s="1" customFormat="1" ht="15">
      <c r="A18" s="7"/>
      <c r="B18" s="220" t="s">
        <v>311</v>
      </c>
      <c r="C18" s="7"/>
      <c r="D18" s="7"/>
      <c r="E18" s="7"/>
      <c r="F18" s="7"/>
    </row>
    <row r="19" spans="1:6" ht="15">
      <c r="A19" s="4">
        <v>5</v>
      </c>
      <c r="B19" s="5" t="s">
        <v>6</v>
      </c>
      <c r="C19" s="19">
        <f>'[6]расходы ЭТК свод год'!$E$21</f>
        <v>187566.5419253175</v>
      </c>
      <c r="D19" s="20">
        <v>7</v>
      </c>
      <c r="E19" s="19">
        <f>SUM('[4]Учет'!$E$45:$E$51)</f>
        <v>1867.07</v>
      </c>
      <c r="F19" s="19">
        <f>C19/D19</f>
        <v>26795.220275045354</v>
      </c>
    </row>
    <row r="20" spans="1:6" ht="15">
      <c r="A20" s="4">
        <v>6</v>
      </c>
      <c r="B20" s="5" t="s">
        <v>7</v>
      </c>
      <c r="C20" s="19">
        <f>'[6]расходы ЭТК свод год'!$E$22</f>
        <v>152426.35338528248</v>
      </c>
      <c r="D20" s="20">
        <v>7</v>
      </c>
      <c r="E20" s="19">
        <f>SUM('[4]Учет'!$E$45:$E$51)</f>
        <v>1867.07</v>
      </c>
      <c r="F20" s="19">
        <f>C20/D20</f>
        <v>21775.19334075464</v>
      </c>
    </row>
    <row r="21" spans="1:6" ht="15">
      <c r="A21" s="4"/>
      <c r="B21" s="222" t="s">
        <v>314</v>
      </c>
      <c r="C21" s="19"/>
      <c r="D21" s="20"/>
      <c r="E21" s="19"/>
      <c r="F21" s="19"/>
    </row>
    <row r="22" spans="1:6" ht="15">
      <c r="A22" s="4">
        <v>7</v>
      </c>
      <c r="B22" s="5" t="s">
        <v>6</v>
      </c>
      <c r="C22" s="19">
        <f>'[3]расходы ЭТК свод год'!$E$6+'[3]расходы ЭТК свод год'!$E$8</f>
        <v>54070.308841173195</v>
      </c>
      <c r="D22" s="20">
        <v>2</v>
      </c>
      <c r="E22" s="19">
        <f>73+700</f>
        <v>773</v>
      </c>
      <c r="F22" s="19">
        <f>C22/D22</f>
        <v>27035.154420586598</v>
      </c>
    </row>
    <row r="23" spans="1:6" ht="15">
      <c r="A23" s="4">
        <v>8</v>
      </c>
      <c r="B23" s="5" t="s">
        <v>7</v>
      </c>
      <c r="C23" s="19">
        <f>'[3]расходы ЭТК свод год'!$E$7+'[3]расходы ЭТК свод год'!$E$9</f>
        <v>56420.13147497257</v>
      </c>
      <c r="D23" s="20">
        <v>2</v>
      </c>
      <c r="E23" s="19">
        <f>73+700</f>
        <v>773</v>
      </c>
      <c r="F23" s="19">
        <f>C23/D23</f>
        <v>28210.065737486286</v>
      </c>
    </row>
    <row r="24" spans="1:6" ht="15">
      <c r="A24" s="4"/>
      <c r="B24" s="222" t="s">
        <v>312</v>
      </c>
      <c r="C24" s="4"/>
      <c r="D24" s="4"/>
      <c r="E24" s="4"/>
      <c r="F24" s="4"/>
    </row>
    <row r="25" spans="1:6" s="16" customFormat="1" ht="15">
      <c r="A25" s="31">
        <v>9</v>
      </c>
      <c r="B25" s="5" t="s">
        <v>6</v>
      </c>
      <c r="C25" s="223">
        <f>'[2]расходы ЭТК за год'!$P$6+'[2]расходы ЭТК за год'!$P$8+'[2]расходы ЭТК за год'!$P$10+'[2]расходы ЭТК за год'!$P$12+'[2]расходы ЭТК за год'!$P$14+'[2]расходы ЭТК за год'!$P$16+'[2]расходы ЭТК за год'!$P$18</f>
        <v>395150.69963374105</v>
      </c>
      <c r="D25" s="31">
        <v>7</v>
      </c>
      <c r="E25" s="31">
        <f>105+346.5+50+400+300+105</f>
        <v>1306.5</v>
      </c>
      <c r="F25" s="223">
        <f>C25/D25</f>
        <v>56450.09994767729</v>
      </c>
    </row>
    <row r="26" spans="1:6" ht="15">
      <c r="A26" s="4">
        <v>10</v>
      </c>
      <c r="B26" s="5" t="s">
        <v>7</v>
      </c>
      <c r="C26" s="223">
        <f>'[2]расходы ЭТК за год'!$P$7+'[2]расходы ЭТК за год'!$P$9+'[2]расходы ЭТК за год'!$P$11+'[2]расходы ЭТК за год'!$P$13+'[2]расходы ЭТК за год'!$P$15+'[2]расходы ЭТК за год'!$P$17+'[2]расходы ЭТК за год'!$P$19</f>
        <v>179402.13875267492</v>
      </c>
      <c r="D26" s="31">
        <v>7</v>
      </c>
      <c r="E26" s="31">
        <f>105+346.5+50+400+300+105</f>
        <v>1306.5</v>
      </c>
      <c r="F26" s="223">
        <f>C26/D26</f>
        <v>25628.876964667845</v>
      </c>
    </row>
    <row r="27" spans="1:6" ht="15">
      <c r="A27" s="4"/>
      <c r="B27" s="222" t="s">
        <v>313</v>
      </c>
      <c r="C27" s="4"/>
      <c r="D27" s="4"/>
      <c r="E27" s="4"/>
      <c r="F27" s="4"/>
    </row>
    <row r="28" spans="1:6" ht="15">
      <c r="A28" s="4">
        <v>11</v>
      </c>
      <c r="B28" s="5" t="s">
        <v>6</v>
      </c>
      <c r="C28" s="135">
        <f>'[1]расходы ЭТК'!$P$6+'[1]расходы ЭТК'!$P$8+'[1]расходы ЭТК'!$P$10</f>
        <v>54744.242129025435</v>
      </c>
      <c r="D28" s="4">
        <v>3</v>
      </c>
      <c r="E28" s="4">
        <f>1600+1250+100</f>
        <v>2950</v>
      </c>
      <c r="F28" s="135">
        <f>C28/D28</f>
        <v>18248.080709675145</v>
      </c>
    </row>
    <row r="29" spans="1:6" ht="15">
      <c r="A29" s="4">
        <v>12</v>
      </c>
      <c r="B29" s="5" t="s">
        <v>7</v>
      </c>
      <c r="C29" s="135">
        <f>'[1]расходы ЭТК'!$P$7+'[1]расходы ЭТК'!$P$9+'[1]расходы ЭТК'!$P$11</f>
        <v>77403.35488857455</v>
      </c>
      <c r="D29" s="4">
        <v>3</v>
      </c>
      <c r="E29" s="4">
        <f>1600+1250+100</f>
        <v>2950</v>
      </c>
      <c r="F29" s="135">
        <f>C29/D29</f>
        <v>25801.11829619152</v>
      </c>
    </row>
    <row r="30" spans="1:6" ht="15">
      <c r="A30" s="32"/>
      <c r="B30" s="221"/>
      <c r="C30" s="33"/>
      <c r="D30" s="33"/>
      <c r="E30" s="33"/>
      <c r="F30" s="33"/>
    </row>
    <row r="31" spans="1:6" ht="15">
      <c r="A31" s="32"/>
      <c r="B31" s="221"/>
      <c r="C31" s="33"/>
      <c r="D31" s="33"/>
      <c r="E31" s="33"/>
      <c r="F31" s="33"/>
    </row>
    <row r="32" spans="1:6" ht="15">
      <c r="A32" s="32"/>
      <c r="B32" s="221"/>
      <c r="C32" s="33"/>
      <c r="D32" s="33"/>
      <c r="E32" s="33"/>
      <c r="F32" s="33"/>
    </row>
    <row r="33" spans="1:6" ht="15">
      <c r="A33" s="32"/>
      <c r="B33" s="221"/>
      <c r="C33" s="33"/>
      <c r="D33" s="33"/>
      <c r="E33" s="33"/>
      <c r="F33" s="33"/>
    </row>
    <row r="34" spans="2:5" ht="15">
      <c r="B34" s="16" t="s">
        <v>174</v>
      </c>
      <c r="C34" s="16"/>
      <c r="D34" s="16"/>
      <c r="E34" s="16" t="s">
        <v>175</v>
      </c>
    </row>
  </sheetData>
  <sheetProtection/>
  <mergeCells count="8">
    <mergeCell ref="A2:F2"/>
    <mergeCell ref="A1:F1"/>
    <mergeCell ref="C6:E6"/>
    <mergeCell ref="F6:F7"/>
    <mergeCell ref="B6:B7"/>
    <mergeCell ref="A6:A7"/>
    <mergeCell ref="A4:F4"/>
    <mergeCell ref="A3:F3"/>
  </mergeCells>
  <printOptions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view="pageBreakPreview" zoomScaleSheetLayoutView="100" zoomScalePageLayoutView="0" workbookViewId="0" topLeftCell="A1">
      <selection activeCell="A5" sqref="A5:H5"/>
    </sheetView>
  </sheetViews>
  <sheetFormatPr defaultColWidth="9.140625" defaultRowHeight="15" outlineLevelCol="1"/>
  <cols>
    <col min="1" max="1" width="9.140625" style="1" customWidth="1"/>
    <col min="2" max="2" width="53.28125" style="2" customWidth="1"/>
    <col min="3" max="3" width="23.7109375" style="2" customWidth="1"/>
    <col min="4" max="4" width="22.140625" style="226" customWidth="1"/>
    <col min="5" max="5" width="21.28125" style="2" customWidth="1"/>
    <col min="6" max="6" width="19.57421875" style="0" customWidth="1"/>
    <col min="7" max="7" width="19.7109375" style="0" hidden="1" customWidth="1" outlineLevel="1"/>
    <col min="8" max="8" width="20.140625" style="0" hidden="1" customWidth="1" outlineLevel="1"/>
    <col min="9" max="9" width="9.140625" style="0" customWidth="1" collapsed="1"/>
  </cols>
  <sheetData>
    <row r="1" spans="1:8" ht="15">
      <c r="A1" s="374" t="s">
        <v>55</v>
      </c>
      <c r="B1" s="374"/>
      <c r="C1" s="374"/>
      <c r="D1" s="374"/>
      <c r="E1" s="374"/>
      <c r="F1" s="374"/>
      <c r="G1" s="374"/>
      <c r="H1" s="374"/>
    </row>
    <row r="2" spans="1:8" ht="15">
      <c r="A2" s="374" t="s">
        <v>52</v>
      </c>
      <c r="B2" s="374"/>
      <c r="C2" s="374"/>
      <c r="D2" s="374"/>
      <c r="E2" s="374"/>
      <c r="F2" s="374"/>
      <c r="G2" s="374"/>
      <c r="H2" s="374"/>
    </row>
    <row r="3" spans="1:8" ht="15">
      <c r="A3" s="374" t="s">
        <v>53</v>
      </c>
      <c r="B3" s="374"/>
      <c r="C3" s="374"/>
      <c r="D3" s="374"/>
      <c r="E3" s="374"/>
      <c r="F3" s="374"/>
      <c r="G3" s="374"/>
      <c r="H3" s="374"/>
    </row>
    <row r="4" spans="1:8" ht="15">
      <c r="A4" s="374" t="s">
        <v>54</v>
      </c>
      <c r="B4" s="374"/>
      <c r="C4" s="374"/>
      <c r="D4" s="374"/>
      <c r="E4" s="374"/>
      <c r="F4" s="374"/>
      <c r="G4" s="374"/>
      <c r="H4" s="374"/>
    </row>
    <row r="5" spans="1:8" ht="15">
      <c r="A5" s="374" t="s">
        <v>528</v>
      </c>
      <c r="B5" s="374"/>
      <c r="C5" s="374"/>
      <c r="D5" s="374"/>
      <c r="E5" s="374"/>
      <c r="F5" s="374"/>
      <c r="G5" s="374"/>
      <c r="H5" s="374"/>
    </row>
    <row r="6" ht="15">
      <c r="F6" s="22" t="s">
        <v>63</v>
      </c>
    </row>
    <row r="7" spans="1:8" s="11" customFormat="1" ht="15">
      <c r="A7" s="6" t="s">
        <v>0</v>
      </c>
      <c r="B7" s="6" t="s">
        <v>9</v>
      </c>
      <c r="C7" s="227" t="s">
        <v>523</v>
      </c>
      <c r="D7" s="227" t="s">
        <v>399</v>
      </c>
      <c r="E7" s="29" t="s">
        <v>315</v>
      </c>
      <c r="F7" s="6" t="s">
        <v>66</v>
      </c>
      <c r="G7" s="6" t="s">
        <v>61</v>
      </c>
      <c r="H7" s="6" t="s">
        <v>62</v>
      </c>
    </row>
    <row r="8" spans="1:8" s="13" customFormat="1" ht="12.75" customHeight="1">
      <c r="A8" s="7">
        <v>1</v>
      </c>
      <c r="B8" s="12">
        <v>2</v>
      </c>
      <c r="C8" s="7">
        <v>3</v>
      </c>
      <c r="D8" s="12">
        <v>4</v>
      </c>
      <c r="E8" s="7">
        <v>5</v>
      </c>
      <c r="F8" s="12">
        <v>6</v>
      </c>
      <c r="G8" s="7">
        <v>7</v>
      </c>
      <c r="H8" s="12">
        <v>8</v>
      </c>
    </row>
    <row r="9" spans="1:8" ht="30">
      <c r="A9" s="21">
        <v>1</v>
      </c>
      <c r="B9" s="8" t="s">
        <v>10</v>
      </c>
      <c r="C9" s="24">
        <f aca="true" t="shared" si="0" ref="C9:H9">SUM(C10:C14)</f>
        <v>169770.39999999997</v>
      </c>
      <c r="D9" s="24">
        <f t="shared" si="0"/>
        <v>328800.37</v>
      </c>
      <c r="E9" s="24">
        <f t="shared" si="0"/>
        <v>111495.62999999999</v>
      </c>
      <c r="F9" s="24">
        <f t="shared" si="0"/>
        <v>574552.838386416</v>
      </c>
      <c r="G9" s="24">
        <f t="shared" si="0"/>
        <v>0</v>
      </c>
      <c r="H9" s="24">
        <f t="shared" si="0"/>
        <v>0</v>
      </c>
    </row>
    <row r="10" spans="1:8" ht="15">
      <c r="A10" s="21" t="s">
        <v>24</v>
      </c>
      <c r="B10" s="8" t="s">
        <v>11</v>
      </c>
      <c r="C10" s="8"/>
      <c r="D10" s="24"/>
      <c r="E10" s="24"/>
      <c r="F10" s="24"/>
      <c r="G10" s="24"/>
      <c r="H10" s="24"/>
    </row>
    <row r="11" spans="1:8" ht="15">
      <c r="A11" s="21" t="s">
        <v>25</v>
      </c>
      <c r="B11" s="8" t="s">
        <v>12</v>
      </c>
      <c r="C11" s="8"/>
      <c r="D11" s="24">
        <v>72.71</v>
      </c>
      <c r="E11" s="24">
        <v>11.54</v>
      </c>
      <c r="F11" s="24">
        <v>58.97</v>
      </c>
      <c r="G11" s="24"/>
      <c r="H11" s="24"/>
    </row>
    <row r="12" spans="1:8" ht="15">
      <c r="A12" s="21" t="s">
        <v>26</v>
      </c>
      <c r="B12" s="8" t="s">
        <v>13</v>
      </c>
      <c r="C12" s="24">
        <f>129507.73</f>
        <v>129507.73</v>
      </c>
      <c r="D12" s="24">
        <v>262501.99</v>
      </c>
      <c r="E12" s="24">
        <f>41536.31+42032.72+139.44+440.71</f>
        <v>84149.18000000001</v>
      </c>
      <c r="F12" s="24">
        <f>'[2]расходы ЭТК за год'!$M$20</f>
        <v>435734.92000000004</v>
      </c>
      <c r="G12" s="24"/>
      <c r="H12" s="24"/>
    </row>
    <row r="13" spans="1:8" ht="15">
      <c r="A13" s="21" t="s">
        <v>27</v>
      </c>
      <c r="B13" s="8" t="s">
        <v>14</v>
      </c>
      <c r="C13" s="24">
        <f>38852.34+518.03</f>
        <v>39370.369999999995</v>
      </c>
      <c r="D13" s="24">
        <v>61781.15</v>
      </c>
      <c r="E13" s="24">
        <f>12460.9+166.15+12609.82+84.08+38.39+0.52+119.86+1.81</f>
        <v>25481.530000000002</v>
      </c>
      <c r="F13" s="24">
        <f>'[2]расходы ЭТК за год'!$N$20</f>
        <v>131410.7875</v>
      </c>
      <c r="G13" s="24"/>
      <c r="H13" s="24"/>
    </row>
    <row r="14" spans="1:8" ht="15">
      <c r="A14" s="21" t="s">
        <v>28</v>
      </c>
      <c r="B14" s="8" t="s">
        <v>15</v>
      </c>
      <c r="C14" s="24">
        <f aca="true" t="shared" si="1" ref="C14:H14">SUM(C15:C17)</f>
        <v>892.3</v>
      </c>
      <c r="D14" s="24">
        <f t="shared" si="1"/>
        <v>4444.519999999963</v>
      </c>
      <c r="E14" s="24">
        <f t="shared" si="1"/>
        <v>1853.3799999999856</v>
      </c>
      <c r="F14" s="24">
        <f t="shared" si="1"/>
        <v>7348.1608864159325</v>
      </c>
      <c r="G14" s="24">
        <f t="shared" si="1"/>
        <v>0</v>
      </c>
      <c r="H14" s="24">
        <f t="shared" si="1"/>
        <v>0</v>
      </c>
    </row>
    <row r="15" spans="1:8" ht="15">
      <c r="A15" s="21" t="s">
        <v>29</v>
      </c>
      <c r="B15" s="9" t="s">
        <v>22</v>
      </c>
      <c r="C15" s="331"/>
      <c r="D15" s="24">
        <f>2.24+2.1+403.54+11.05</f>
        <v>418.93</v>
      </c>
      <c r="E15" s="24">
        <f>67.41</f>
        <v>67.41</v>
      </c>
      <c r="F15" s="24">
        <f>325.01+3.79</f>
        <v>328.8</v>
      </c>
      <c r="G15" s="24"/>
      <c r="H15" s="24"/>
    </row>
    <row r="16" spans="1:8" ht="30">
      <c r="A16" s="21" t="s">
        <v>30</v>
      </c>
      <c r="B16" s="9" t="s">
        <v>42</v>
      </c>
      <c r="C16" s="331"/>
      <c r="D16" s="24">
        <f>5.53+25.6</f>
        <v>31.130000000000003</v>
      </c>
      <c r="E16" s="24">
        <f>0.46+2.12</f>
        <v>2.58</v>
      </c>
      <c r="F16" s="24">
        <f>5.28+34.99</f>
        <v>40.27</v>
      </c>
      <c r="G16" s="24"/>
      <c r="H16" s="24"/>
    </row>
    <row r="17" spans="1:8" ht="30">
      <c r="A17" s="21" t="s">
        <v>31</v>
      </c>
      <c r="B17" s="9" t="s">
        <v>43</v>
      </c>
      <c r="C17" s="24">
        <f aca="true" t="shared" si="2" ref="C17:H17">SUM(C18:C22)</f>
        <v>892.3</v>
      </c>
      <c r="D17" s="24">
        <f t="shared" si="2"/>
        <v>3994.4599999999627</v>
      </c>
      <c r="E17" s="24">
        <f t="shared" si="2"/>
        <v>1783.3899999999855</v>
      </c>
      <c r="F17" s="24">
        <f t="shared" si="2"/>
        <v>6979.090886415933</v>
      </c>
      <c r="G17" s="24">
        <f t="shared" si="2"/>
        <v>0</v>
      </c>
      <c r="H17" s="24">
        <f t="shared" si="2"/>
        <v>0</v>
      </c>
    </row>
    <row r="18" spans="1:8" ht="15">
      <c r="A18" s="21" t="s">
        <v>32</v>
      </c>
      <c r="B18" s="10" t="s">
        <v>16</v>
      </c>
      <c r="C18" s="332"/>
      <c r="D18" s="24">
        <v>103.75</v>
      </c>
      <c r="E18" s="24">
        <v>17.89</v>
      </c>
      <c r="F18" s="24">
        <v>93.14</v>
      </c>
      <c r="G18" s="24"/>
      <c r="H18" s="24"/>
    </row>
    <row r="19" spans="1:8" ht="15">
      <c r="A19" s="21" t="s">
        <v>33</v>
      </c>
      <c r="B19" s="10" t="s">
        <v>17</v>
      </c>
      <c r="C19" s="332"/>
      <c r="D19" s="24">
        <v>77.32</v>
      </c>
      <c r="E19" s="24"/>
      <c r="F19" s="24"/>
      <c r="G19" s="24"/>
      <c r="H19" s="24"/>
    </row>
    <row r="20" spans="1:8" ht="45">
      <c r="A20" s="21" t="s">
        <v>34</v>
      </c>
      <c r="B20" s="10" t="s">
        <v>18</v>
      </c>
      <c r="C20" s="332"/>
      <c r="D20" s="24">
        <f>16.61</f>
        <v>16.61</v>
      </c>
      <c r="E20" s="24"/>
      <c r="F20" s="24"/>
      <c r="G20" s="24"/>
      <c r="H20" s="24"/>
    </row>
    <row r="21" spans="1:8" ht="15">
      <c r="A21" s="21" t="s">
        <v>35</v>
      </c>
      <c r="B21" s="10" t="s">
        <v>19</v>
      </c>
      <c r="C21" s="332"/>
      <c r="D21" s="24">
        <v>8.07</v>
      </c>
      <c r="E21" s="24">
        <v>1.25</v>
      </c>
      <c r="F21" s="24"/>
      <c r="G21" s="24"/>
      <c r="H21" s="24"/>
    </row>
    <row r="22" spans="1:8" ht="30">
      <c r="A22" s="21" t="s">
        <v>36</v>
      </c>
      <c r="B22" s="10" t="s">
        <v>20</v>
      </c>
      <c r="C22" s="24">
        <v>892.3</v>
      </c>
      <c r="D22" s="24">
        <f>328800.37-SUM(D11:D13,D15:D16,D18:D21)</f>
        <v>3788.7099999999627</v>
      </c>
      <c r="E22" s="24">
        <f>(1864.48+109631.15)-SUM(E10:E13,E15:E16,E18:E21)</f>
        <v>1764.2499999999854</v>
      </c>
      <c r="F22" s="24">
        <f>'[2]расходы ЭТК за год'!$O$20+'[2]расходы ЭТК за год'!$L$20-SUM(F10:F11,F15:F16,F18:F21)</f>
        <v>6885.9508864159325</v>
      </c>
      <c r="G22" s="24"/>
      <c r="H22" s="24"/>
    </row>
    <row r="23" spans="1:8" ht="15">
      <c r="A23" s="21" t="s">
        <v>37</v>
      </c>
      <c r="B23" s="8" t="s">
        <v>21</v>
      </c>
      <c r="C23" s="8"/>
      <c r="D23" s="24">
        <f>SUM(D24:D27)</f>
        <v>28.86</v>
      </c>
      <c r="E23" s="24">
        <f>SUM(E24:E27)</f>
        <v>0</v>
      </c>
      <c r="F23" s="24">
        <f>SUM(F24:F27)</f>
        <v>0</v>
      </c>
      <c r="G23" s="24">
        <f>SUM(G24:G27)</f>
        <v>0</v>
      </c>
      <c r="H23" s="24">
        <f>SUM(H24:H27)</f>
        <v>0</v>
      </c>
    </row>
    <row r="24" spans="1:8" ht="15">
      <c r="A24" s="21" t="s">
        <v>38</v>
      </c>
      <c r="B24" s="9" t="s">
        <v>23</v>
      </c>
      <c r="C24" s="9"/>
      <c r="D24" s="24">
        <v>28.86</v>
      </c>
      <c r="E24" s="24"/>
      <c r="F24" s="24"/>
      <c r="G24" s="24"/>
      <c r="H24" s="24"/>
    </row>
    <row r="25" spans="1:8" ht="15">
      <c r="A25" s="21" t="s">
        <v>39</v>
      </c>
      <c r="B25" s="9" t="s">
        <v>44</v>
      </c>
      <c r="C25" s="9"/>
      <c r="D25" s="24"/>
      <c r="E25" s="24"/>
      <c r="F25" s="24"/>
      <c r="G25" s="24"/>
      <c r="H25" s="24"/>
    </row>
    <row r="26" spans="1:8" ht="15">
      <c r="A26" s="21" t="s">
        <v>40</v>
      </c>
      <c r="B26" s="9" t="s">
        <v>45</v>
      </c>
      <c r="C26" s="9"/>
      <c r="D26" s="24"/>
      <c r="E26" s="24"/>
      <c r="F26" s="24"/>
      <c r="G26" s="24"/>
      <c r="H26" s="24"/>
    </row>
    <row r="27" spans="1:8" ht="30">
      <c r="A27" s="21" t="s">
        <v>41</v>
      </c>
      <c r="B27" s="9" t="s">
        <v>46</v>
      </c>
      <c r="C27" s="9"/>
      <c r="D27" s="24"/>
      <c r="E27" s="24"/>
      <c r="F27" s="24"/>
      <c r="G27" s="24"/>
      <c r="H27" s="24"/>
    </row>
    <row r="31" spans="1:7" s="16" customFormat="1" ht="15">
      <c r="A31" s="18"/>
      <c r="B31" s="27" t="s">
        <v>174</v>
      </c>
      <c r="C31" s="27"/>
      <c r="D31" s="228"/>
      <c r="E31" s="27" t="s">
        <v>175</v>
      </c>
      <c r="G31" s="28" t="s">
        <v>175</v>
      </c>
    </row>
  </sheetData>
  <sheetProtection/>
  <mergeCells count="5">
    <mergeCell ref="A5:H5"/>
    <mergeCell ref="A4:H4"/>
    <mergeCell ref="A3:H3"/>
    <mergeCell ref="A2:H2"/>
    <mergeCell ref="A1:H1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view="pageBreakPreview" zoomScaleSheetLayoutView="100" zoomScalePageLayoutView="0" workbookViewId="0" topLeftCell="A1">
      <selection activeCell="D39" activeCellId="1" sqref="D19:D25 D39:D45"/>
    </sheetView>
  </sheetViews>
  <sheetFormatPr defaultColWidth="9.140625" defaultRowHeight="15" outlineLevelCol="1"/>
  <cols>
    <col min="1" max="1" width="20.7109375" style="1" customWidth="1"/>
    <col min="2" max="2" width="68.57421875" style="0" customWidth="1"/>
    <col min="3" max="3" width="21.28125" style="0" customWidth="1"/>
    <col min="4" max="4" width="23.28125" style="0" customWidth="1"/>
    <col min="5" max="5" width="21.57421875" style="0" customWidth="1"/>
    <col min="6" max="8" width="20.421875" style="0" hidden="1" customWidth="1" outlineLevel="1"/>
    <col min="9" max="9" width="9.140625" style="0" customWidth="1" collapsed="1"/>
  </cols>
  <sheetData>
    <row r="1" spans="1:8" ht="15">
      <c r="A1" s="374" t="s">
        <v>56</v>
      </c>
      <c r="B1" s="374"/>
      <c r="C1" s="374"/>
      <c r="D1" s="374"/>
      <c r="E1" s="374"/>
      <c r="F1" s="374"/>
      <c r="G1" s="374"/>
      <c r="H1" s="374"/>
    </row>
    <row r="2" spans="1:8" ht="15">
      <c r="A2" s="374" t="s">
        <v>57</v>
      </c>
      <c r="B2" s="374"/>
      <c r="C2" s="374"/>
      <c r="D2" s="374"/>
      <c r="E2" s="374"/>
      <c r="F2" s="374"/>
      <c r="G2" s="374"/>
      <c r="H2" s="374"/>
    </row>
    <row r="3" spans="1:8" ht="15">
      <c r="A3" s="377" t="s">
        <v>58</v>
      </c>
      <c r="B3" s="377"/>
      <c r="C3" s="377"/>
      <c r="D3" s="377"/>
      <c r="E3" s="377"/>
      <c r="F3" s="377"/>
      <c r="G3" s="377"/>
      <c r="H3" s="377"/>
    </row>
    <row r="4" spans="1:8" ht="15">
      <c r="A4" s="377" t="s">
        <v>59</v>
      </c>
      <c r="B4" s="377"/>
      <c r="C4" s="377"/>
      <c r="D4" s="377"/>
      <c r="E4" s="377"/>
      <c r="F4" s="377"/>
      <c r="G4" s="377"/>
      <c r="H4" s="377"/>
    </row>
    <row r="5" spans="1:8" ht="15">
      <c r="A5" s="377" t="s">
        <v>60</v>
      </c>
      <c r="B5" s="377"/>
      <c r="C5" s="377"/>
      <c r="D5" s="377"/>
      <c r="E5" s="377"/>
      <c r="F5" s="377"/>
      <c r="G5" s="377"/>
      <c r="H5" s="377"/>
    </row>
    <row r="6" spans="1:5" ht="15">
      <c r="A6" s="17"/>
      <c r="B6" s="17"/>
      <c r="C6" s="17"/>
      <c r="D6" s="17"/>
      <c r="E6" s="23" t="s">
        <v>64</v>
      </c>
    </row>
    <row r="7" spans="1:8" s="15" customFormat="1" ht="45">
      <c r="A7" s="25" t="s">
        <v>65</v>
      </c>
      <c r="B7" s="14" t="s">
        <v>9</v>
      </c>
      <c r="C7" s="283" t="s">
        <v>523</v>
      </c>
      <c r="D7" s="224" t="s">
        <v>399</v>
      </c>
      <c r="E7" s="30" t="s">
        <v>315</v>
      </c>
      <c r="F7" s="6" t="s">
        <v>66</v>
      </c>
      <c r="G7" s="6" t="s">
        <v>61</v>
      </c>
      <c r="H7" s="6" t="s">
        <v>62</v>
      </c>
    </row>
    <row r="8" spans="1:8" s="15" customFormat="1" ht="15">
      <c r="A8" s="14">
        <v>1</v>
      </c>
      <c r="B8" s="14">
        <v>2</v>
      </c>
      <c r="C8" s="283"/>
      <c r="D8" s="224">
        <v>3</v>
      </c>
      <c r="E8" s="30">
        <v>4</v>
      </c>
      <c r="F8" s="14">
        <v>5</v>
      </c>
      <c r="G8" s="14">
        <v>6</v>
      </c>
      <c r="H8" s="14">
        <v>6</v>
      </c>
    </row>
    <row r="9" spans="1:8" s="16" customFormat="1" ht="15">
      <c r="A9" s="378" t="s">
        <v>47</v>
      </c>
      <c r="B9" s="378"/>
      <c r="C9" s="378"/>
      <c r="D9" s="378"/>
      <c r="E9" s="378"/>
      <c r="F9" s="378"/>
      <c r="G9" s="378"/>
      <c r="H9" s="378"/>
    </row>
    <row r="10" spans="1:8" ht="15">
      <c r="A10" s="31"/>
      <c r="B10" s="34" t="s">
        <v>304</v>
      </c>
      <c r="C10" s="34"/>
      <c r="D10" s="34"/>
      <c r="E10" s="26"/>
      <c r="F10" s="26">
        <f>'[2]расходы ЭТК за год'!$P$6</f>
        <v>19583.06511148997</v>
      </c>
      <c r="G10" s="5"/>
      <c r="H10" s="5"/>
    </row>
    <row r="11" spans="1:8" ht="15">
      <c r="A11" s="31"/>
      <c r="B11" s="34" t="s">
        <v>305</v>
      </c>
      <c r="C11" s="34"/>
      <c r="D11" s="34"/>
      <c r="E11" s="26"/>
      <c r="F11" s="26">
        <f>'[2]расходы ЭТК за год'!$P$8</f>
        <v>20158.455928362095</v>
      </c>
      <c r="G11" s="5"/>
      <c r="H11" s="5"/>
    </row>
    <row r="12" spans="1:8" ht="15">
      <c r="A12" s="31"/>
      <c r="B12" s="34" t="str">
        <f>B32</f>
        <v>Бабиков И.Ф. (договор № 21 от 30.06.16)</v>
      </c>
      <c r="C12" s="34"/>
      <c r="D12" s="34"/>
      <c r="E12" s="26"/>
      <c r="F12" s="26">
        <f>'[2]расходы ЭТК за год'!$P$10</f>
        <v>23631.86737603588</v>
      </c>
      <c r="G12" s="5"/>
      <c r="H12" s="5"/>
    </row>
    <row r="13" spans="1:8" ht="15">
      <c r="A13" s="31"/>
      <c r="B13" s="34" t="str">
        <f>B33</f>
        <v>ОАО "Омскводоканал" (договор № 19/2016 от 19.04.16)</v>
      </c>
      <c r="C13" s="34"/>
      <c r="D13" s="34"/>
      <c r="E13" s="26"/>
      <c r="F13" s="26">
        <f>'[2]расходы ЭТК за год'!$P$12</f>
        <v>264576.3661471738</v>
      </c>
      <c r="G13" s="5"/>
      <c r="H13" s="5"/>
    </row>
    <row r="14" spans="1:8" ht="15">
      <c r="A14" s="31"/>
      <c r="B14" s="34" t="str">
        <f>B34</f>
        <v>СНТ Иртыш-1 (договор б/н от 18.09.17)</v>
      </c>
      <c r="C14" s="34"/>
      <c r="D14" s="34"/>
      <c r="E14" s="26"/>
      <c r="F14" s="26">
        <f>'[2]расходы ЭТК за год'!$P$14</f>
        <v>22675.15639400697</v>
      </c>
      <c r="G14" s="5"/>
      <c r="H14" s="5"/>
    </row>
    <row r="15" spans="1:8" ht="15">
      <c r="A15" s="31"/>
      <c r="B15" s="34" t="str">
        <f>B35</f>
        <v>Тужиков Д.В. (договор № 25 от 27.10.16)</v>
      </c>
      <c r="C15" s="34"/>
      <c r="D15" s="34"/>
      <c r="E15" s="26"/>
      <c r="F15" s="26">
        <f>'[2]расходы ЭТК за год'!$P$16</f>
        <v>23724.22183287185</v>
      </c>
      <c r="G15" s="5"/>
      <c r="H15" s="5"/>
    </row>
    <row r="16" spans="1:8" ht="15">
      <c r="A16" s="31"/>
      <c r="B16" s="34" t="str">
        <f>B36</f>
        <v>АО "Омскэлектро" (договор № 12 от 11.12.15)</v>
      </c>
      <c r="C16" s="34"/>
      <c r="D16" s="34"/>
      <c r="E16" s="26"/>
      <c r="F16" s="26">
        <f>'[2]расходы ЭТК за год'!$P$18</f>
        <v>20801.56684380048</v>
      </c>
      <c r="G16" s="5"/>
      <c r="H16" s="5"/>
    </row>
    <row r="17" spans="1:8" ht="15">
      <c r="A17" s="31"/>
      <c r="B17" s="34" t="s">
        <v>316</v>
      </c>
      <c r="C17" s="34"/>
      <c r="D17" s="26"/>
      <c r="E17" s="26">
        <f>'[3]расходы ЭТК свод год'!$E$6</f>
        <v>27058.942438644593</v>
      </c>
      <c r="F17" s="26"/>
      <c r="G17" s="5"/>
      <c r="H17" s="5"/>
    </row>
    <row r="18" spans="1:8" ht="15">
      <c r="A18" s="31"/>
      <c r="B18" s="34" t="s">
        <v>317</v>
      </c>
      <c r="C18" s="34"/>
      <c r="D18" s="26"/>
      <c r="E18" s="26">
        <f>'[3]расходы ЭТК свод год'!$E$8</f>
        <v>27011.3664025286</v>
      </c>
      <c r="F18" s="26"/>
      <c r="G18" s="5"/>
      <c r="H18" s="5"/>
    </row>
    <row r="19" spans="1:8" ht="15">
      <c r="A19" s="31"/>
      <c r="B19" s="280" t="s">
        <v>400</v>
      </c>
      <c r="C19" s="280"/>
      <c r="D19" s="26">
        <v>38058.11</v>
      </c>
      <c r="E19" s="26"/>
      <c r="F19" s="26"/>
      <c r="G19" s="5"/>
      <c r="H19" s="5"/>
    </row>
    <row r="20" spans="1:8" ht="15">
      <c r="A20" s="31"/>
      <c r="B20" s="34" t="s">
        <v>402</v>
      </c>
      <c r="C20" s="34"/>
      <c r="D20" s="26">
        <v>23547.15</v>
      </c>
      <c r="E20" s="26"/>
      <c r="F20" s="26"/>
      <c r="G20" s="5"/>
      <c r="H20" s="5"/>
    </row>
    <row r="21" spans="1:8" ht="15">
      <c r="A21" s="31"/>
      <c r="B21" s="34" t="s">
        <v>401</v>
      </c>
      <c r="C21" s="34"/>
      <c r="D21" s="26">
        <v>28897.68</v>
      </c>
      <c r="E21" s="26"/>
      <c r="F21" s="26"/>
      <c r="G21" s="5"/>
      <c r="H21" s="5"/>
    </row>
    <row r="22" spans="1:8" ht="30">
      <c r="A22" s="31"/>
      <c r="B22" s="281" t="s">
        <v>403</v>
      </c>
      <c r="C22" s="281"/>
      <c r="D22" s="26">
        <v>27834.34</v>
      </c>
      <c r="E22" s="26"/>
      <c r="F22" s="26"/>
      <c r="G22" s="5"/>
      <c r="H22" s="5"/>
    </row>
    <row r="23" spans="1:8" ht="15">
      <c r="A23" s="31"/>
      <c r="B23" s="34" t="s">
        <v>404</v>
      </c>
      <c r="C23" s="34"/>
      <c r="D23" s="26">
        <v>24291.75</v>
      </c>
      <c r="E23" s="26"/>
      <c r="F23" s="26"/>
      <c r="G23" s="5"/>
      <c r="H23" s="5"/>
    </row>
    <row r="24" spans="1:8" ht="15">
      <c r="A24" s="31"/>
      <c r="B24" s="34" t="s">
        <v>405</v>
      </c>
      <c r="C24" s="34"/>
      <c r="D24" s="26">
        <v>23800.84</v>
      </c>
      <c r="E24" s="26"/>
      <c r="F24" s="26"/>
      <c r="G24" s="5"/>
      <c r="H24" s="5"/>
    </row>
    <row r="25" spans="1:8" ht="15">
      <c r="A25" s="31"/>
      <c r="B25" s="34" t="s">
        <v>406</v>
      </c>
      <c r="C25" s="34"/>
      <c r="D25" s="26">
        <v>21136.66</v>
      </c>
      <c r="E25" s="26"/>
      <c r="F25" s="26"/>
      <c r="G25" s="5"/>
      <c r="H25" s="5"/>
    </row>
    <row r="26" spans="1:8" ht="15">
      <c r="A26" s="31"/>
      <c r="B26" s="34" t="s">
        <v>524</v>
      </c>
      <c r="C26" s="26">
        <v>42515.04</v>
      </c>
      <c r="D26" s="26"/>
      <c r="E26" s="26"/>
      <c r="F26" s="26"/>
      <c r="G26" s="5"/>
      <c r="H26" s="5"/>
    </row>
    <row r="27" spans="1:8" ht="15">
      <c r="A27" s="31"/>
      <c r="B27" s="34" t="s">
        <v>525</v>
      </c>
      <c r="C27" s="26">
        <v>24086.35</v>
      </c>
      <c r="D27" s="26"/>
      <c r="E27" s="26"/>
      <c r="F27" s="26"/>
      <c r="G27" s="5"/>
      <c r="H27" s="5"/>
    </row>
    <row r="28" spans="1:8" ht="15">
      <c r="A28" s="31"/>
      <c r="B28" s="34" t="s">
        <v>526</v>
      </c>
      <c r="C28" s="26">
        <v>26055.44</v>
      </c>
      <c r="D28" s="26"/>
      <c r="E28" s="26"/>
      <c r="F28" s="26"/>
      <c r="G28" s="5"/>
      <c r="H28" s="5"/>
    </row>
    <row r="29" spans="1:8" s="16" customFormat="1" ht="15">
      <c r="A29" s="378" t="s">
        <v>48</v>
      </c>
      <c r="B29" s="378"/>
      <c r="C29" s="378"/>
      <c r="D29" s="378"/>
      <c r="E29" s="378"/>
      <c r="F29" s="378"/>
      <c r="G29" s="378"/>
      <c r="H29" s="378"/>
    </row>
    <row r="30" spans="1:8" ht="15">
      <c r="A30" s="4"/>
      <c r="B30" s="34" t="str">
        <f>B10</f>
        <v>АО "Омскэлектро" (договор № 2 от 26.03.15)</v>
      </c>
      <c r="C30" s="34"/>
      <c r="D30" s="34"/>
      <c r="E30" s="26"/>
      <c r="F30" s="26">
        <f>'[2]расходы ЭТК за год'!$P$7</f>
        <v>21163.473604077735</v>
      </c>
      <c r="G30" s="5"/>
      <c r="H30" s="33"/>
    </row>
    <row r="31" spans="1:8" ht="15">
      <c r="A31" s="4"/>
      <c r="B31" s="35" t="str">
        <f>B11</f>
        <v>АО "Омскэлектро" (договор № 6 от 21.07.15)</v>
      </c>
      <c r="C31" s="35"/>
      <c r="D31" s="35"/>
      <c r="E31" s="26"/>
      <c r="F31" s="26">
        <f>'[2]расходы ЭТК за год'!$P$9</f>
        <v>20743.04410748992</v>
      </c>
      <c r="G31" s="5"/>
      <c r="H31" s="33"/>
    </row>
    <row r="32" spans="1:8" ht="15">
      <c r="A32" s="4"/>
      <c r="B32" s="34" t="s">
        <v>306</v>
      </c>
      <c r="C32" s="34"/>
      <c r="D32" s="34"/>
      <c r="E32" s="26"/>
      <c r="F32" s="26">
        <f>'[2]расходы ЭТК за год'!$P$11</f>
        <v>14416.833060360526</v>
      </c>
      <c r="G32" s="5"/>
      <c r="H32" s="33"/>
    </row>
    <row r="33" spans="1:8" ht="15">
      <c r="A33" s="4"/>
      <c r="B33" s="34" t="s">
        <v>307</v>
      </c>
      <c r="C33" s="34"/>
      <c r="D33" s="34"/>
      <c r="E33" s="26"/>
      <c r="F33" s="26">
        <f>'[2]расходы ЭТК за год'!$P$13</f>
        <v>70945.95078271028</v>
      </c>
      <c r="G33" s="5"/>
      <c r="H33" s="33"/>
    </row>
    <row r="34" spans="1:8" ht="15">
      <c r="A34" s="4"/>
      <c r="B34" s="34" t="s">
        <v>308</v>
      </c>
      <c r="C34" s="34"/>
      <c r="D34" s="34"/>
      <c r="E34" s="26"/>
      <c r="F34" s="26">
        <f>'[2]расходы ЭТК за год'!$P$15</f>
        <v>21034.225905993033</v>
      </c>
      <c r="G34" s="5"/>
      <c r="H34" s="33"/>
    </row>
    <row r="35" spans="1:8" ht="15">
      <c r="A35" s="4"/>
      <c r="B35" s="34" t="s">
        <v>309</v>
      </c>
      <c r="C35" s="34"/>
      <c r="D35" s="34"/>
      <c r="E35" s="26"/>
      <c r="F35" s="26">
        <f>'[2]расходы ЭТК за год'!$P$17</f>
        <v>16131.722791128146</v>
      </c>
      <c r="G35" s="5"/>
      <c r="H35" s="33"/>
    </row>
    <row r="36" spans="1:8" ht="15">
      <c r="A36" s="4"/>
      <c r="B36" s="34" t="s">
        <v>310</v>
      </c>
      <c r="C36" s="34"/>
      <c r="D36" s="34"/>
      <c r="E36" s="26"/>
      <c r="F36" s="26">
        <f>'[2]расходы ЭТК за год'!$P$19</f>
        <v>14966.888500915278</v>
      </c>
      <c r="G36" s="5"/>
      <c r="H36" s="33"/>
    </row>
    <row r="37" spans="1:6" ht="15">
      <c r="A37" s="4"/>
      <c r="B37" s="34" t="str">
        <f>B17</f>
        <v>ИП Фомичёв А.Н. (договор № 27/2017 от 18.09.17)</v>
      </c>
      <c r="C37" s="34"/>
      <c r="D37" s="26"/>
      <c r="E37" s="26">
        <f>'[3]расходы ЭТК свод год'!$E$7</f>
        <v>27530.50907035541</v>
      </c>
      <c r="F37" s="5"/>
    </row>
    <row r="38" spans="1:6" ht="15">
      <c r="A38" s="4"/>
      <c r="B38" s="34" t="str">
        <f>B18</f>
        <v>АО "Омскэлектро" (договор № 10 от 16.10.15)</v>
      </c>
      <c r="C38" s="34"/>
      <c r="D38" s="26"/>
      <c r="E38" s="26">
        <f>'[3]расходы ЭТК свод год'!$E$9</f>
        <v>28889.622404617166</v>
      </c>
      <c r="F38" s="5"/>
    </row>
    <row r="39" spans="1:6" ht="15">
      <c r="A39" s="4"/>
      <c r="B39" s="34" t="str">
        <f aca="true" t="shared" si="0" ref="B39:B45">B19</f>
        <v>АО "Омскэлектро" (договор № 32 от 14.12.2017)</v>
      </c>
      <c r="C39" s="34"/>
      <c r="D39" s="26">
        <v>38721.36</v>
      </c>
      <c r="E39" s="26"/>
      <c r="F39" s="5"/>
    </row>
    <row r="40" spans="1:6" ht="15">
      <c r="A40" s="4"/>
      <c r="B40" s="34" t="str">
        <f t="shared" si="0"/>
        <v>Евтушок М.И. (договор № 38 от 17.04.2019)</v>
      </c>
      <c r="C40" s="34"/>
      <c r="D40" s="26">
        <v>14918.81</v>
      </c>
      <c r="E40" s="26"/>
      <c r="F40" s="5"/>
    </row>
    <row r="41" spans="1:6" ht="15">
      <c r="A41" s="4"/>
      <c r="B41" s="34" t="str">
        <f t="shared" si="0"/>
        <v>ИП Андреева Е.П. (договор № 37 от 08.04.2019)</v>
      </c>
      <c r="C41" s="34"/>
      <c r="D41" s="26">
        <v>18308.75</v>
      </c>
      <c r="E41" s="26"/>
      <c r="F41" s="5"/>
    </row>
    <row r="42" spans="1:6" ht="30">
      <c r="A42" s="4"/>
      <c r="B42" s="282" t="str">
        <f t="shared" si="0"/>
        <v>ООО "Омская технологическая сервисная компания" (договор № 40 от 21.05.2019)</v>
      </c>
      <c r="C42" s="282"/>
      <c r="D42" s="26">
        <v>17635.05</v>
      </c>
      <c r="E42" s="26"/>
      <c r="F42" s="5"/>
    </row>
    <row r="43" spans="1:6" ht="15">
      <c r="A43" s="4"/>
      <c r="B43" s="34" t="str">
        <f t="shared" si="0"/>
        <v>ИП Конычев С.В. (договор № 41 от 29.07.2019)</v>
      </c>
      <c r="C43" s="34"/>
      <c r="D43" s="26">
        <v>15377.11</v>
      </c>
      <c r="E43" s="26"/>
      <c r="F43" s="5"/>
    </row>
    <row r="44" spans="1:6" ht="15">
      <c r="A44" s="4"/>
      <c r="B44" s="34" t="str">
        <f t="shared" si="0"/>
        <v>АО "Омскводоканал" (договор № 33/1423 от 03.07.2019)</v>
      </c>
      <c r="C44" s="34"/>
      <c r="D44" s="26">
        <v>20524.02</v>
      </c>
      <c r="E44" s="26"/>
      <c r="F44" s="5"/>
    </row>
    <row r="45" spans="1:6" ht="15">
      <c r="A45" s="4"/>
      <c r="B45" s="34" t="str">
        <f t="shared" si="0"/>
        <v>АО "Омскводоканал" (договор № 34/1498 от 27.08.2019)</v>
      </c>
      <c r="C45" s="34"/>
      <c r="D45" s="26">
        <v>26941.24</v>
      </c>
      <c r="E45" s="26"/>
      <c r="F45" s="5"/>
    </row>
    <row r="46" spans="1:5" ht="15">
      <c r="A46" s="31"/>
      <c r="B46" s="34" t="s">
        <v>524</v>
      </c>
      <c r="C46" s="26">
        <v>45372.9</v>
      </c>
      <c r="D46" s="26"/>
      <c r="E46" s="26"/>
    </row>
    <row r="47" spans="1:5" s="16" customFormat="1" ht="15">
      <c r="A47" s="31"/>
      <c r="B47" s="34" t="s">
        <v>525</v>
      </c>
      <c r="C47" s="26">
        <v>15247.09</v>
      </c>
      <c r="D47" s="26"/>
      <c r="E47" s="26"/>
    </row>
    <row r="48" spans="1:5" ht="15">
      <c r="A48" s="31"/>
      <c r="B48" s="34" t="s">
        <v>526</v>
      </c>
      <c r="C48" s="26">
        <v>16493.56</v>
      </c>
      <c r="D48" s="26"/>
      <c r="E48" s="26"/>
    </row>
    <row r="49" spans="2:4" ht="15">
      <c r="B49" s="16" t="s">
        <v>174</v>
      </c>
      <c r="C49" s="16"/>
      <c r="D49" s="28" t="s">
        <v>175</v>
      </c>
    </row>
  </sheetData>
  <sheetProtection/>
  <mergeCells count="7">
    <mergeCell ref="A9:H9"/>
    <mergeCell ref="A29:H29"/>
    <mergeCell ref="A1:H1"/>
    <mergeCell ref="A2:H2"/>
    <mergeCell ref="A3:H3"/>
    <mergeCell ref="A5:H5"/>
    <mergeCell ref="A4:H4"/>
  </mergeCells>
  <printOptions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3"/>
  <sheetViews>
    <sheetView view="pageBreakPreview" zoomScale="60" zoomScaleNormal="50" workbookViewId="0" topLeftCell="A1">
      <pane xSplit="3" ySplit="5" topLeftCell="L14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V124" sqref="V124"/>
    </sheetView>
  </sheetViews>
  <sheetFormatPr defaultColWidth="9.140625" defaultRowHeight="15" outlineLevelRow="1"/>
  <cols>
    <col min="1" max="1" width="9.140625" style="38" customWidth="1"/>
    <col min="2" max="2" width="51.7109375" style="39" customWidth="1"/>
    <col min="3" max="3" width="60.00390625" style="44" customWidth="1"/>
    <col min="4" max="4" width="14.140625" style="40" customWidth="1"/>
    <col min="5" max="5" width="14.00390625" style="41" customWidth="1"/>
    <col min="6" max="6" width="17.57421875" style="42" customWidth="1"/>
    <col min="7" max="7" width="24.57421875" style="42" customWidth="1"/>
    <col min="8" max="8" width="12.00390625" style="41" customWidth="1"/>
    <col min="9" max="9" width="16.421875" style="42" customWidth="1"/>
    <col min="10" max="10" width="13.57421875" style="41" customWidth="1"/>
    <col min="11" max="11" width="15.57421875" style="42" customWidth="1"/>
    <col min="12" max="12" width="11.7109375" style="41" customWidth="1"/>
    <col min="13" max="13" width="12.7109375" style="42" customWidth="1"/>
    <col min="14" max="14" width="11.421875" style="41" customWidth="1"/>
    <col min="15" max="15" width="11.28125" style="42" customWidth="1"/>
    <col min="16" max="16" width="15.421875" style="42" customWidth="1"/>
    <col min="17" max="17" width="20.8515625" style="42" customWidth="1"/>
    <col min="18" max="18" width="20.57421875" style="42" customWidth="1"/>
    <col min="19" max="20" width="13.57421875" style="42" customWidth="1"/>
    <col min="21" max="21" width="17.28125" style="42" customWidth="1"/>
    <col min="22" max="22" width="17.00390625" style="43" customWidth="1"/>
    <col min="23" max="23" width="14.140625" style="44" customWidth="1"/>
    <col min="24" max="24" width="13.00390625" style="44" customWidth="1"/>
    <col min="25" max="16384" width="9.140625" style="44" customWidth="1"/>
  </cols>
  <sheetData>
    <row r="1" spans="1:22" s="37" customFormat="1" ht="46.5" customHeight="1">
      <c r="A1" s="382" t="s">
        <v>519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</row>
    <row r="2" spans="3:7" ht="18.75">
      <c r="C2" s="37"/>
      <c r="F2" s="36"/>
      <c r="G2" s="36"/>
    </row>
    <row r="3" spans="1:22" s="48" customFormat="1" ht="116.25" customHeight="1">
      <c r="A3" s="383" t="s">
        <v>67</v>
      </c>
      <c r="B3" s="383" t="s">
        <v>68</v>
      </c>
      <c r="C3" s="383" t="s">
        <v>69</v>
      </c>
      <c r="D3" s="384" t="s">
        <v>70</v>
      </c>
      <c r="E3" s="383" t="s">
        <v>71</v>
      </c>
      <c r="F3" s="383" t="s">
        <v>72</v>
      </c>
      <c r="G3" s="383" t="s">
        <v>73</v>
      </c>
      <c r="H3" s="383" t="s">
        <v>74</v>
      </c>
      <c r="I3" s="379"/>
      <c r="J3" s="390" t="s">
        <v>75</v>
      </c>
      <c r="K3" s="391"/>
      <c r="L3" s="383" t="s">
        <v>76</v>
      </c>
      <c r="M3" s="379"/>
      <c r="N3" s="383" t="s">
        <v>77</v>
      </c>
      <c r="O3" s="379"/>
      <c r="P3" s="379" t="s">
        <v>78</v>
      </c>
      <c r="Q3" s="379" t="s">
        <v>79</v>
      </c>
      <c r="R3" s="380" t="s">
        <v>80</v>
      </c>
      <c r="S3" s="379" t="s">
        <v>81</v>
      </c>
      <c r="T3" s="379"/>
      <c r="U3" s="379" t="s">
        <v>82</v>
      </c>
      <c r="V3" s="385" t="s">
        <v>83</v>
      </c>
    </row>
    <row r="4" spans="1:22" s="49" customFormat="1" ht="24.75" customHeight="1">
      <c r="A4" s="383"/>
      <c r="B4" s="383"/>
      <c r="C4" s="383"/>
      <c r="D4" s="384"/>
      <c r="E4" s="383"/>
      <c r="F4" s="383"/>
      <c r="G4" s="379"/>
      <c r="H4" s="45" t="s">
        <v>84</v>
      </c>
      <c r="I4" s="45" t="s">
        <v>85</v>
      </c>
      <c r="J4" s="45" t="s">
        <v>84</v>
      </c>
      <c r="K4" s="45" t="s">
        <v>85</v>
      </c>
      <c r="L4" s="45" t="s">
        <v>84</v>
      </c>
      <c r="M4" s="45" t="s">
        <v>85</v>
      </c>
      <c r="N4" s="45" t="s">
        <v>84</v>
      </c>
      <c r="O4" s="45" t="s">
        <v>85</v>
      </c>
      <c r="P4" s="379"/>
      <c r="Q4" s="379"/>
      <c r="R4" s="381"/>
      <c r="S4" s="45" t="s">
        <v>84</v>
      </c>
      <c r="T4" s="45" t="s">
        <v>85</v>
      </c>
      <c r="U4" s="379"/>
      <c r="V4" s="386"/>
    </row>
    <row r="5" spans="1:22" s="49" customFormat="1" ht="28.5" customHeight="1">
      <c r="A5" s="50">
        <v>1</v>
      </c>
      <c r="B5" s="51">
        <v>2</v>
      </c>
      <c r="C5" s="52">
        <v>3</v>
      </c>
      <c r="D5" s="51">
        <v>4</v>
      </c>
      <c r="E5" s="51">
        <v>5</v>
      </c>
      <c r="F5" s="51">
        <v>6</v>
      </c>
      <c r="G5" s="51">
        <v>7</v>
      </c>
      <c r="H5" s="387">
        <v>8</v>
      </c>
      <c r="I5" s="387"/>
      <c r="J5" s="388">
        <v>9</v>
      </c>
      <c r="K5" s="389"/>
      <c r="L5" s="387">
        <v>10</v>
      </c>
      <c r="M5" s="387"/>
      <c r="N5" s="387">
        <v>11</v>
      </c>
      <c r="O5" s="387"/>
      <c r="P5" s="51">
        <v>12</v>
      </c>
      <c r="Q5" s="51">
        <v>13</v>
      </c>
      <c r="R5" s="51">
        <v>14</v>
      </c>
      <c r="S5" s="388">
        <v>15</v>
      </c>
      <c r="T5" s="389"/>
      <c r="U5" s="51">
        <v>16</v>
      </c>
      <c r="V5" s="234">
        <v>17</v>
      </c>
    </row>
    <row r="6" spans="1:22" s="49" customFormat="1" ht="75.75" customHeight="1">
      <c r="A6" s="45" t="s">
        <v>86</v>
      </c>
      <c r="B6" s="53" t="s">
        <v>87</v>
      </c>
      <c r="C6" s="54"/>
      <c r="D6" s="55"/>
      <c r="E6" s="56"/>
      <c r="F6" s="45"/>
      <c r="G6" s="45"/>
      <c r="H6" s="56"/>
      <c r="I6" s="45"/>
      <c r="J6" s="56"/>
      <c r="K6" s="45"/>
      <c r="L6" s="56"/>
      <c r="M6" s="45"/>
      <c r="N6" s="56"/>
      <c r="O6" s="45"/>
      <c r="P6" s="45"/>
      <c r="Q6" s="45"/>
      <c r="R6" s="45"/>
      <c r="S6" s="45"/>
      <c r="T6" s="45"/>
      <c r="U6" s="57"/>
      <c r="V6" s="58"/>
    </row>
    <row r="7" spans="1:22" s="49" customFormat="1" ht="37.5">
      <c r="A7" s="380" t="s">
        <v>88</v>
      </c>
      <c r="B7" s="393" t="s">
        <v>89</v>
      </c>
      <c r="C7" s="54" t="s">
        <v>90</v>
      </c>
      <c r="D7" s="55">
        <v>0.15</v>
      </c>
      <c r="E7" s="59">
        <f>58432*1.046</f>
        <v>61119.872</v>
      </c>
      <c r="F7" s="45">
        <f>1973/12</f>
        <v>164.41666666666666</v>
      </c>
      <c r="G7" s="45">
        <f>E7/F7</f>
        <v>371.7376908261531</v>
      </c>
      <c r="H7" s="56">
        <v>0</v>
      </c>
      <c r="I7" s="45">
        <f>G7/100*H7</f>
        <v>0</v>
      </c>
      <c r="J7" s="60">
        <v>50</v>
      </c>
      <c r="K7" s="45">
        <f>(G7+I7)/100*J7</f>
        <v>185.86884541307654</v>
      </c>
      <c r="L7" s="60">
        <v>26</v>
      </c>
      <c r="M7" s="45">
        <f>G7/100*L7</f>
        <v>96.6517996147998</v>
      </c>
      <c r="N7" s="60">
        <v>0</v>
      </c>
      <c r="O7" s="45">
        <f>G7/100*N7</f>
        <v>0</v>
      </c>
      <c r="P7" s="45">
        <f>(G7+I7+K7+M7+O7)*0.15</f>
        <v>98.1387503781044</v>
      </c>
      <c r="Q7" s="45">
        <f>(G7+I7+K7+M7+P7+O7)</f>
        <v>752.3970862321338</v>
      </c>
      <c r="R7" s="45">
        <f>Q7*D7</f>
        <v>112.85956293482006</v>
      </c>
      <c r="S7" s="56">
        <v>30.4</v>
      </c>
      <c r="T7" s="45">
        <f>R7/100*S7</f>
        <v>34.309307132185296</v>
      </c>
      <c r="U7" s="45">
        <f>R7+T7</f>
        <v>147.16887006700534</v>
      </c>
      <c r="V7" s="61"/>
    </row>
    <row r="8" spans="1:22" s="49" customFormat="1" ht="37.5">
      <c r="A8" s="392"/>
      <c r="B8" s="394"/>
      <c r="C8" s="54" t="s">
        <v>91</v>
      </c>
      <c r="D8" s="55">
        <v>1</v>
      </c>
      <c r="E8" s="59">
        <f>50836*1.046</f>
        <v>53174.456000000006</v>
      </c>
      <c r="F8" s="45">
        <f>1973/12</f>
        <v>164.41666666666666</v>
      </c>
      <c r="G8" s="45">
        <f>E8/F8</f>
        <v>323.4128089204258</v>
      </c>
      <c r="H8" s="56">
        <v>0</v>
      </c>
      <c r="I8" s="45">
        <f>G8/100*H8</f>
        <v>0</v>
      </c>
      <c r="J8" s="60">
        <v>50</v>
      </c>
      <c r="K8" s="45">
        <f>(G8+I8)/100*J8</f>
        <v>161.7064044602129</v>
      </c>
      <c r="L8" s="60">
        <v>26</v>
      </c>
      <c r="M8" s="45">
        <f>G8/100*L8</f>
        <v>84.08733031931071</v>
      </c>
      <c r="N8" s="60">
        <v>0</v>
      </c>
      <c r="O8" s="45">
        <f>G8/100*N8</f>
        <v>0</v>
      </c>
      <c r="P8" s="45">
        <f>(G8+I8+K8+M8+O8)*0.15</f>
        <v>85.3809815549924</v>
      </c>
      <c r="Q8" s="45">
        <f>(G8+I8+K8+M8+P8+O8)</f>
        <v>654.5875252549419</v>
      </c>
      <c r="R8" s="45">
        <f>Q8*D8</f>
        <v>654.5875252549419</v>
      </c>
      <c r="S8" s="56">
        <v>30.4</v>
      </c>
      <c r="T8" s="45">
        <f>R8/100*S8</f>
        <v>198.9946076775023</v>
      </c>
      <c r="U8" s="45">
        <f>R8+T8</f>
        <v>853.5821329324442</v>
      </c>
      <c r="V8" s="61"/>
    </row>
    <row r="9" spans="1:22" s="49" customFormat="1" ht="37.5">
      <c r="A9" s="392"/>
      <c r="B9" s="394"/>
      <c r="C9" s="54" t="s">
        <v>92</v>
      </c>
      <c r="D9" s="55">
        <v>1</v>
      </c>
      <c r="E9" s="59">
        <f>29057*1.046</f>
        <v>30393.622</v>
      </c>
      <c r="F9" s="45">
        <f>1973/12</f>
        <v>164.41666666666666</v>
      </c>
      <c r="G9" s="45">
        <f>E9/F9</f>
        <v>184.85730562595035</v>
      </c>
      <c r="H9" s="56">
        <v>0</v>
      </c>
      <c r="I9" s="45">
        <f>G9/100*H9</f>
        <v>0</v>
      </c>
      <c r="J9" s="60">
        <v>50</v>
      </c>
      <c r="K9" s="45">
        <f>(G9+I9)/100*J9</f>
        <v>92.42865281297517</v>
      </c>
      <c r="L9" s="60">
        <v>26</v>
      </c>
      <c r="M9" s="45">
        <f>G9/100*L9</f>
        <v>48.06289946274709</v>
      </c>
      <c r="N9" s="60">
        <v>0</v>
      </c>
      <c r="O9" s="45">
        <f>G9/100*N9</f>
        <v>0</v>
      </c>
      <c r="P9" s="45">
        <f>(G9+I9+K9+M9+O9)*0.15</f>
        <v>48.80232868525089</v>
      </c>
      <c r="Q9" s="45">
        <f>(G9+I9+K9+M9+P9+O9)</f>
        <v>374.1511865869235</v>
      </c>
      <c r="R9" s="45">
        <f>Q9*D9</f>
        <v>374.1511865869235</v>
      </c>
      <c r="S9" s="56">
        <v>30.4</v>
      </c>
      <c r="T9" s="45">
        <f>R9/100*S9</f>
        <v>113.74196072242472</v>
      </c>
      <c r="U9" s="45">
        <f>R9+T9</f>
        <v>487.8931473093482</v>
      </c>
      <c r="V9" s="61"/>
    </row>
    <row r="10" spans="1:22" s="49" customFormat="1" ht="30" customHeight="1">
      <c r="A10" s="392"/>
      <c r="B10" s="394"/>
      <c r="C10" s="62" t="s">
        <v>93</v>
      </c>
      <c r="D10" s="55"/>
      <c r="E10" s="56"/>
      <c r="F10" s="45"/>
      <c r="G10" s="45"/>
      <c r="H10" s="56"/>
      <c r="I10" s="45"/>
      <c r="J10" s="60"/>
      <c r="K10" s="45"/>
      <c r="L10" s="60"/>
      <c r="M10" s="45"/>
      <c r="N10" s="60"/>
      <c r="O10" s="45"/>
      <c r="P10" s="45"/>
      <c r="Q10" s="45"/>
      <c r="R10" s="57"/>
      <c r="S10" s="63"/>
      <c r="T10" s="57"/>
      <c r="U10" s="57"/>
      <c r="V10" s="61">
        <f>SUM(R7:R9)</f>
        <v>1141.5982747766852</v>
      </c>
    </row>
    <row r="11" spans="1:22" s="49" customFormat="1" ht="27" customHeight="1">
      <c r="A11" s="392"/>
      <c r="B11" s="394"/>
      <c r="C11" s="62" t="s">
        <v>94</v>
      </c>
      <c r="D11" s="55"/>
      <c r="E11" s="56"/>
      <c r="F11" s="45"/>
      <c r="G11" s="45"/>
      <c r="H11" s="56"/>
      <c r="I11" s="45"/>
      <c r="J11" s="60"/>
      <c r="K11" s="45"/>
      <c r="L11" s="60"/>
      <c r="M11" s="45"/>
      <c r="N11" s="60"/>
      <c r="O11" s="45"/>
      <c r="P11" s="45"/>
      <c r="Q11" s="45"/>
      <c r="R11" s="57"/>
      <c r="S11" s="63"/>
      <c r="T11" s="57"/>
      <c r="U11" s="57"/>
      <c r="V11" s="61">
        <f>SUM(T7:T9)</f>
        <v>347.0458755321123</v>
      </c>
    </row>
    <row r="12" spans="1:22" s="49" customFormat="1" ht="19.5" outlineLevel="1">
      <c r="A12" s="392"/>
      <c r="B12" s="394"/>
      <c r="C12" s="62" t="s">
        <v>95</v>
      </c>
      <c r="D12" s="55"/>
      <c r="E12" s="56"/>
      <c r="F12" s="45"/>
      <c r="G12" s="45"/>
      <c r="H12" s="56"/>
      <c r="I12" s="45"/>
      <c r="J12" s="60"/>
      <c r="K12" s="45"/>
      <c r="L12" s="60"/>
      <c r="M12" s="45"/>
      <c r="N12" s="60"/>
      <c r="O12" s="45"/>
      <c r="P12" s="45"/>
      <c r="Q12" s="45"/>
      <c r="R12" s="45"/>
      <c r="S12" s="56"/>
      <c r="T12" s="45"/>
      <c r="U12" s="45"/>
      <c r="V12" s="64"/>
    </row>
    <row r="13" spans="1:22" s="49" customFormat="1" ht="19.5">
      <c r="A13" s="381"/>
      <c r="B13" s="395"/>
      <c r="C13" s="62" t="s">
        <v>96</v>
      </c>
      <c r="D13" s="55"/>
      <c r="E13" s="56"/>
      <c r="F13" s="45"/>
      <c r="G13" s="45"/>
      <c r="H13" s="56"/>
      <c r="I13" s="45"/>
      <c r="J13" s="60"/>
      <c r="K13" s="45"/>
      <c r="L13" s="60"/>
      <c r="M13" s="45"/>
      <c r="N13" s="60"/>
      <c r="O13" s="45"/>
      <c r="P13" s="45"/>
      <c r="Q13" s="45"/>
      <c r="R13" s="45"/>
      <c r="S13" s="56"/>
      <c r="T13" s="45"/>
      <c r="U13" s="45"/>
      <c r="V13" s="65">
        <f>SUM(V10:V12)</f>
        <v>1488.6441503087976</v>
      </c>
    </row>
    <row r="14" spans="1:22" s="49" customFormat="1" ht="18.75">
      <c r="A14" s="380" t="s">
        <v>97</v>
      </c>
      <c r="B14" s="393" t="s">
        <v>98</v>
      </c>
      <c r="C14" s="54" t="s">
        <v>99</v>
      </c>
      <c r="D14" s="55">
        <v>0.15</v>
      </c>
      <c r="E14" s="59">
        <f>38426*1.046</f>
        <v>40193.596000000005</v>
      </c>
      <c r="F14" s="45">
        <f>1973/12</f>
        <v>164.41666666666666</v>
      </c>
      <c r="G14" s="45">
        <f>E14/F14</f>
        <v>244.46181044095292</v>
      </c>
      <c r="H14" s="56">
        <v>0</v>
      </c>
      <c r="I14" s="45">
        <f>G14/100*H14</f>
        <v>0</v>
      </c>
      <c r="J14" s="60">
        <v>50</v>
      </c>
      <c r="K14" s="45">
        <f>(G14+I14)/100*J14</f>
        <v>122.23090522047646</v>
      </c>
      <c r="L14" s="60">
        <v>24</v>
      </c>
      <c r="M14" s="45">
        <f>G14/100*L14</f>
        <v>58.6708345058287</v>
      </c>
      <c r="N14" s="60">
        <v>0</v>
      </c>
      <c r="O14" s="45">
        <f>G14/100*N14</f>
        <v>0</v>
      </c>
      <c r="P14" s="45">
        <f>(G14+I14+K14+M14+O14)*0.15</f>
        <v>63.8045325250887</v>
      </c>
      <c r="Q14" s="45">
        <f>(G14+I14+K14+M14+P14+O14)</f>
        <v>489.16808269234673</v>
      </c>
      <c r="R14" s="45">
        <f>Q14*D14</f>
        <v>73.375212403852</v>
      </c>
      <c r="S14" s="56">
        <v>30.4</v>
      </c>
      <c r="T14" s="45">
        <f>R14/100*S14</f>
        <v>22.30606457077101</v>
      </c>
      <c r="U14" s="45">
        <f>R14+T14</f>
        <v>95.68127697462302</v>
      </c>
      <c r="V14" s="61"/>
    </row>
    <row r="15" spans="1:22" s="49" customFormat="1" ht="37.5">
      <c r="A15" s="392"/>
      <c r="B15" s="394"/>
      <c r="C15" s="54" t="s">
        <v>92</v>
      </c>
      <c r="D15" s="55">
        <v>0.15</v>
      </c>
      <c r="E15" s="77">
        <f>E9</f>
        <v>30393.622</v>
      </c>
      <c r="F15" s="45">
        <f>1973/12</f>
        <v>164.41666666666666</v>
      </c>
      <c r="G15" s="45">
        <f>E15/F15</f>
        <v>184.85730562595035</v>
      </c>
      <c r="H15" s="56">
        <v>0</v>
      </c>
      <c r="I15" s="45">
        <f>G15/100*H15</f>
        <v>0</v>
      </c>
      <c r="J15" s="60">
        <v>50</v>
      </c>
      <c r="K15" s="45">
        <f>(G15+I15)/100*J15</f>
        <v>92.42865281297517</v>
      </c>
      <c r="L15" s="60">
        <v>26</v>
      </c>
      <c r="M15" s="45">
        <f>G15/100*L15</f>
        <v>48.06289946274709</v>
      </c>
      <c r="N15" s="60">
        <v>0</v>
      </c>
      <c r="O15" s="45">
        <f>G15/100*N15</f>
        <v>0</v>
      </c>
      <c r="P15" s="45">
        <f>(G15+I15+K15+M15+O15)*0.15</f>
        <v>48.80232868525089</v>
      </c>
      <c r="Q15" s="45">
        <f>(G15+I15+K15+M15+P15+O15)</f>
        <v>374.1511865869235</v>
      </c>
      <c r="R15" s="45">
        <f>Q15*D15</f>
        <v>56.12267798803852</v>
      </c>
      <c r="S15" s="56">
        <v>30.4</v>
      </c>
      <c r="T15" s="45">
        <f>R15/100*S15</f>
        <v>17.061294108363708</v>
      </c>
      <c r="U15" s="45">
        <f>R15+T15</f>
        <v>73.18397209640223</v>
      </c>
      <c r="V15" s="61"/>
    </row>
    <row r="16" spans="1:22" s="49" customFormat="1" ht="30" customHeight="1">
      <c r="A16" s="392"/>
      <c r="B16" s="394"/>
      <c r="C16" s="62" t="s">
        <v>93</v>
      </c>
      <c r="D16" s="55"/>
      <c r="E16" s="56"/>
      <c r="F16" s="45"/>
      <c r="G16" s="45"/>
      <c r="H16" s="56"/>
      <c r="I16" s="45"/>
      <c r="J16" s="60"/>
      <c r="K16" s="45"/>
      <c r="L16" s="60"/>
      <c r="M16" s="45"/>
      <c r="N16" s="60"/>
      <c r="O16" s="45"/>
      <c r="P16" s="45"/>
      <c r="Q16" s="45"/>
      <c r="R16" s="57"/>
      <c r="S16" s="63"/>
      <c r="T16" s="57"/>
      <c r="U16" s="57"/>
      <c r="V16" s="61">
        <f>SUM(R14:R15)</f>
        <v>129.4978903918905</v>
      </c>
    </row>
    <row r="17" spans="1:22" s="49" customFormat="1" ht="27" customHeight="1">
      <c r="A17" s="392"/>
      <c r="B17" s="394"/>
      <c r="C17" s="62" t="s">
        <v>94</v>
      </c>
      <c r="D17" s="55"/>
      <c r="E17" s="56"/>
      <c r="F17" s="45"/>
      <c r="G17" s="45"/>
      <c r="H17" s="56"/>
      <c r="I17" s="45"/>
      <c r="J17" s="60"/>
      <c r="K17" s="45"/>
      <c r="L17" s="60"/>
      <c r="M17" s="45"/>
      <c r="N17" s="60"/>
      <c r="O17" s="45"/>
      <c r="P17" s="45"/>
      <c r="Q17" s="45"/>
      <c r="R17" s="57"/>
      <c r="S17" s="63"/>
      <c r="T17" s="57"/>
      <c r="U17" s="57"/>
      <c r="V17" s="61">
        <f>SUM(T14:T15)</f>
        <v>39.36735867913472</v>
      </c>
    </row>
    <row r="18" spans="1:22" s="49" customFormat="1" ht="19.5">
      <c r="A18" s="392"/>
      <c r="B18" s="394"/>
      <c r="C18" s="62" t="s">
        <v>95</v>
      </c>
      <c r="D18" s="55"/>
      <c r="E18" s="56"/>
      <c r="F18" s="45"/>
      <c r="G18" s="45"/>
      <c r="H18" s="56"/>
      <c r="I18" s="45"/>
      <c r="J18" s="60"/>
      <c r="K18" s="45"/>
      <c r="L18" s="60"/>
      <c r="M18" s="45"/>
      <c r="N18" s="60"/>
      <c r="O18" s="45"/>
      <c r="P18" s="45"/>
      <c r="Q18" s="45"/>
      <c r="R18" s="45"/>
      <c r="S18" s="56"/>
      <c r="T18" s="45"/>
      <c r="U18" s="45"/>
      <c r="V18" s="64"/>
    </row>
    <row r="19" spans="1:22" s="49" customFormat="1" ht="19.5">
      <c r="A19" s="381"/>
      <c r="B19" s="395"/>
      <c r="C19" s="62" t="s">
        <v>96</v>
      </c>
      <c r="D19" s="55"/>
      <c r="E19" s="56"/>
      <c r="F19" s="45"/>
      <c r="G19" s="45"/>
      <c r="H19" s="56"/>
      <c r="I19" s="45"/>
      <c r="J19" s="60"/>
      <c r="K19" s="45"/>
      <c r="L19" s="60"/>
      <c r="M19" s="45"/>
      <c r="N19" s="60"/>
      <c r="O19" s="45"/>
      <c r="P19" s="45"/>
      <c r="Q19" s="45"/>
      <c r="R19" s="45"/>
      <c r="S19" s="56"/>
      <c r="T19" s="45"/>
      <c r="U19" s="45"/>
      <c r="V19" s="65">
        <f>SUM(V16:V18)</f>
        <v>168.86524907102523</v>
      </c>
    </row>
    <row r="20" spans="1:22" s="66" customFormat="1" ht="39" customHeight="1">
      <c r="A20" s="380" t="s">
        <v>100</v>
      </c>
      <c r="B20" s="396" t="s">
        <v>101</v>
      </c>
      <c r="C20" s="54" t="s">
        <v>102</v>
      </c>
      <c r="D20" s="55">
        <v>2</v>
      </c>
      <c r="E20" s="77">
        <f>E14</f>
        <v>40193.596000000005</v>
      </c>
      <c r="F20" s="45">
        <f>1973/12</f>
        <v>164.41666666666666</v>
      </c>
      <c r="G20" s="45">
        <f>E20/F20</f>
        <v>244.46181044095292</v>
      </c>
      <c r="H20" s="60">
        <v>0</v>
      </c>
      <c r="I20" s="45">
        <f>G20/100*H20</f>
        <v>0</v>
      </c>
      <c r="J20" s="60">
        <v>50</v>
      </c>
      <c r="K20" s="45">
        <f>(G20+I20)/100*J20</f>
        <v>122.23090522047646</v>
      </c>
      <c r="L20" s="60">
        <v>24</v>
      </c>
      <c r="M20" s="45">
        <f>G20/100*L20</f>
        <v>58.6708345058287</v>
      </c>
      <c r="N20" s="60">
        <v>0</v>
      </c>
      <c r="O20" s="45">
        <f>G20/100*N20</f>
        <v>0</v>
      </c>
      <c r="P20" s="45">
        <f>(G20+I20+K20+M20+O20)*0.15</f>
        <v>63.8045325250887</v>
      </c>
      <c r="Q20" s="45">
        <f>(G20+I20+K20+M20+P20+O20)</f>
        <v>489.16808269234673</v>
      </c>
      <c r="R20" s="45">
        <f>Q20*D20</f>
        <v>978.3361653846935</v>
      </c>
      <c r="S20" s="56">
        <v>30.4</v>
      </c>
      <c r="T20" s="45">
        <f>R20/100*S20</f>
        <v>297.41419427694683</v>
      </c>
      <c r="U20" s="45">
        <f>R20+T20</f>
        <v>1275.7503596616402</v>
      </c>
      <c r="V20" s="61"/>
    </row>
    <row r="21" spans="1:22" s="66" customFormat="1" ht="37.5">
      <c r="A21" s="392"/>
      <c r="B21" s="397"/>
      <c r="C21" s="54" t="s">
        <v>103</v>
      </c>
      <c r="D21" s="55">
        <v>1</v>
      </c>
      <c r="E21" s="77">
        <f>E14</f>
        <v>40193.596000000005</v>
      </c>
      <c r="F21" s="45">
        <f>1973/12</f>
        <v>164.41666666666666</v>
      </c>
      <c r="G21" s="45">
        <f>E21/F21</f>
        <v>244.46181044095292</v>
      </c>
      <c r="H21" s="60">
        <v>0</v>
      </c>
      <c r="I21" s="45">
        <f>G21/100*H21</f>
        <v>0</v>
      </c>
      <c r="J21" s="60">
        <v>50</v>
      </c>
      <c r="K21" s="45">
        <f>(G21+I21)/100*J21</f>
        <v>122.23090522047646</v>
      </c>
      <c r="L21" s="60">
        <v>24</v>
      </c>
      <c r="M21" s="45">
        <f>G21/100*L21</f>
        <v>58.6708345058287</v>
      </c>
      <c r="N21" s="60">
        <v>0</v>
      </c>
      <c r="O21" s="45">
        <f>G21/100*N21</f>
        <v>0</v>
      </c>
      <c r="P21" s="45">
        <f>(G21+I21+K21+M21+O21)*0.15</f>
        <v>63.8045325250887</v>
      </c>
      <c r="Q21" s="45">
        <f>(G21+I21+K21+M21+P21+O21)</f>
        <v>489.16808269234673</v>
      </c>
      <c r="R21" s="45">
        <f>Q21*D21</f>
        <v>489.16808269234673</v>
      </c>
      <c r="S21" s="56">
        <v>30.4</v>
      </c>
      <c r="T21" s="45">
        <f>R21/100*S21</f>
        <v>148.70709713847342</v>
      </c>
      <c r="U21" s="45">
        <f>R21+T21</f>
        <v>637.8751798308201</v>
      </c>
      <c r="V21" s="61"/>
    </row>
    <row r="22" spans="1:22" s="66" customFormat="1" ht="39.75" customHeight="1">
      <c r="A22" s="392"/>
      <c r="B22" s="397"/>
      <c r="C22" s="54" t="s">
        <v>104</v>
      </c>
      <c r="D22" s="55">
        <v>2</v>
      </c>
      <c r="E22" s="59">
        <f>25259*1.046</f>
        <v>26420.914</v>
      </c>
      <c r="F22" s="45">
        <f>1973/12</f>
        <v>164.41666666666666</v>
      </c>
      <c r="G22" s="45">
        <f>E22/F22</f>
        <v>160.69486467308667</v>
      </c>
      <c r="H22" s="60">
        <v>0</v>
      </c>
      <c r="I22" s="45">
        <f>G22/100*H22</f>
        <v>0</v>
      </c>
      <c r="J22" s="60">
        <v>50</v>
      </c>
      <c r="K22" s="45">
        <f>(G22+I22)/100*J22</f>
        <v>80.34743233654333</v>
      </c>
      <c r="L22" s="60">
        <v>18</v>
      </c>
      <c r="M22" s="45">
        <f>G22/100*L22</f>
        <v>28.9250756411556</v>
      </c>
      <c r="N22" s="60">
        <v>0</v>
      </c>
      <c r="O22" s="45">
        <f>G22/100*N22</f>
        <v>0</v>
      </c>
      <c r="P22" s="45">
        <f>(G22+I22+K22+M22+O22)*0.15</f>
        <v>40.49510589761784</v>
      </c>
      <c r="Q22" s="45">
        <f>(G22+I22+K22+M22+P22+O22)</f>
        <v>310.46247854840345</v>
      </c>
      <c r="R22" s="45">
        <f>Q22*D22</f>
        <v>620.9249570968069</v>
      </c>
      <c r="S22" s="56">
        <v>30.4</v>
      </c>
      <c r="T22" s="45">
        <f>R22/100*S22</f>
        <v>188.7611869574293</v>
      </c>
      <c r="U22" s="45">
        <f>R22+T22</f>
        <v>809.6861440542361</v>
      </c>
      <c r="V22" s="61"/>
    </row>
    <row r="23" spans="1:22" s="66" customFormat="1" ht="37.5">
      <c r="A23" s="392"/>
      <c r="B23" s="397"/>
      <c r="C23" s="54" t="s">
        <v>105</v>
      </c>
      <c r="D23" s="55">
        <v>1</v>
      </c>
      <c r="E23" s="77">
        <f>E22</f>
        <v>26420.914</v>
      </c>
      <c r="F23" s="45">
        <f>1973/12</f>
        <v>164.41666666666666</v>
      </c>
      <c r="G23" s="45">
        <f>E23/F23</f>
        <v>160.69486467308667</v>
      </c>
      <c r="H23" s="60">
        <v>0</v>
      </c>
      <c r="I23" s="45">
        <f>G23/100*H23</f>
        <v>0</v>
      </c>
      <c r="J23" s="60">
        <v>50</v>
      </c>
      <c r="K23" s="45">
        <f>(G23+I23)/100*J23</f>
        <v>80.34743233654333</v>
      </c>
      <c r="L23" s="60">
        <v>18</v>
      </c>
      <c r="M23" s="45">
        <f>G23/100*L23</f>
        <v>28.9250756411556</v>
      </c>
      <c r="N23" s="60">
        <v>0</v>
      </c>
      <c r="O23" s="45">
        <f>G23/100*N23</f>
        <v>0</v>
      </c>
      <c r="P23" s="45">
        <f>(G23+I23+K23+M23+O23)*0.15</f>
        <v>40.49510589761784</v>
      </c>
      <c r="Q23" s="45">
        <f>(G23+I23+K23+M23+P23+O23)</f>
        <v>310.46247854840345</v>
      </c>
      <c r="R23" s="45">
        <f>Q23*D23</f>
        <v>310.46247854840345</v>
      </c>
      <c r="S23" s="56">
        <v>30.4</v>
      </c>
      <c r="T23" s="45">
        <f>R23/100*S23</f>
        <v>94.38059347871464</v>
      </c>
      <c r="U23" s="45">
        <f>R23+T23</f>
        <v>404.84307202711807</v>
      </c>
      <c r="V23" s="61"/>
    </row>
    <row r="24" spans="1:22" s="66" customFormat="1" ht="18.75">
      <c r="A24" s="392"/>
      <c r="B24" s="397"/>
      <c r="C24" s="54" t="s">
        <v>106</v>
      </c>
      <c r="D24" s="55">
        <v>3</v>
      </c>
      <c r="E24" s="59">
        <f>19111*1.046</f>
        <v>19990.106</v>
      </c>
      <c r="F24" s="45">
        <f>1973/12</f>
        <v>164.41666666666666</v>
      </c>
      <c r="G24" s="45">
        <f>E24/F24</f>
        <v>121.5819929042068</v>
      </c>
      <c r="H24" s="60">
        <v>0</v>
      </c>
      <c r="I24" s="45">
        <f>G24/100*H24</f>
        <v>0</v>
      </c>
      <c r="J24" s="60">
        <v>50</v>
      </c>
      <c r="K24" s="45">
        <f>(G24+I24)/100*J24</f>
        <v>60.7909964521034</v>
      </c>
      <c r="L24" s="60">
        <v>26</v>
      </c>
      <c r="M24" s="45">
        <f>G24/100*L24</f>
        <v>31.611318155093766</v>
      </c>
      <c r="N24" s="60">
        <v>0</v>
      </c>
      <c r="O24" s="45">
        <f>G24/100*N24</f>
        <v>0</v>
      </c>
      <c r="P24" s="45">
        <f>(G24+I24+K24+M24+O24)*0.15</f>
        <v>32.09764612671059</v>
      </c>
      <c r="Q24" s="45">
        <f>(G24+I24+K24+M24+P24+O24)</f>
        <v>246.08195363811456</v>
      </c>
      <c r="R24" s="45">
        <f>Q24*D24</f>
        <v>738.2458609143437</v>
      </c>
      <c r="S24" s="56">
        <v>30.4</v>
      </c>
      <c r="T24" s="45">
        <f>R24/100*S24</f>
        <v>224.42674171796045</v>
      </c>
      <c r="U24" s="45">
        <f>R24+T24</f>
        <v>962.6726026323041</v>
      </c>
      <c r="V24" s="61"/>
    </row>
    <row r="25" spans="1:22" s="66" customFormat="1" ht="20.25" customHeight="1">
      <c r="A25" s="392"/>
      <c r="B25" s="397"/>
      <c r="C25" s="62" t="s">
        <v>93</v>
      </c>
      <c r="D25" s="55"/>
      <c r="E25" s="56"/>
      <c r="F25" s="45"/>
      <c r="G25" s="45"/>
      <c r="H25" s="60"/>
      <c r="I25" s="45"/>
      <c r="J25" s="60"/>
      <c r="K25" s="45"/>
      <c r="L25" s="60"/>
      <c r="M25" s="45"/>
      <c r="N25" s="60"/>
      <c r="O25" s="45"/>
      <c r="P25" s="45"/>
      <c r="Q25" s="45"/>
      <c r="R25" s="57"/>
      <c r="S25" s="63"/>
      <c r="T25" s="57"/>
      <c r="U25" s="57"/>
      <c r="V25" s="61">
        <f>SUM(R20:R24)</f>
        <v>3137.137544636594</v>
      </c>
    </row>
    <row r="26" spans="1:22" s="66" customFormat="1" ht="29.25" customHeight="1">
      <c r="A26" s="392"/>
      <c r="B26" s="397"/>
      <c r="C26" s="62" t="s">
        <v>94</v>
      </c>
      <c r="D26" s="55"/>
      <c r="E26" s="56"/>
      <c r="F26" s="45"/>
      <c r="G26" s="45"/>
      <c r="H26" s="60"/>
      <c r="I26" s="45"/>
      <c r="J26" s="60"/>
      <c r="K26" s="45"/>
      <c r="L26" s="60"/>
      <c r="M26" s="45"/>
      <c r="N26" s="60"/>
      <c r="O26" s="45"/>
      <c r="P26" s="45"/>
      <c r="Q26" s="45"/>
      <c r="R26" s="57"/>
      <c r="S26" s="63"/>
      <c r="T26" s="57"/>
      <c r="U26" s="57"/>
      <c r="V26" s="61">
        <f>SUM(T20:T24)</f>
        <v>953.6898135695247</v>
      </c>
    </row>
    <row r="27" spans="1:22" s="66" customFormat="1" ht="19.5">
      <c r="A27" s="392"/>
      <c r="B27" s="397"/>
      <c r="C27" s="62" t="s">
        <v>107</v>
      </c>
      <c r="D27" s="55"/>
      <c r="E27" s="56"/>
      <c r="F27" s="45"/>
      <c r="G27" s="45"/>
      <c r="H27" s="60"/>
      <c r="I27" s="45"/>
      <c r="J27" s="60"/>
      <c r="K27" s="45"/>
      <c r="L27" s="60"/>
      <c r="M27" s="45"/>
      <c r="N27" s="60"/>
      <c r="O27" s="45"/>
      <c r="P27" s="45"/>
      <c r="Q27" s="45"/>
      <c r="R27" s="45"/>
      <c r="S27" s="56"/>
      <c r="T27" s="45"/>
      <c r="U27" s="45"/>
      <c r="V27" s="67">
        <f>ГСМ!H10</f>
        <v>105.83161161216</v>
      </c>
    </row>
    <row r="28" spans="1:22" s="66" customFormat="1" ht="19.5">
      <c r="A28" s="392"/>
      <c r="B28" s="397"/>
      <c r="C28" s="62" t="s">
        <v>95</v>
      </c>
      <c r="D28" s="55"/>
      <c r="E28" s="56"/>
      <c r="F28" s="45"/>
      <c r="G28" s="45"/>
      <c r="H28" s="60"/>
      <c r="I28" s="45"/>
      <c r="J28" s="60"/>
      <c r="K28" s="45"/>
      <c r="L28" s="60"/>
      <c r="M28" s="45"/>
      <c r="N28" s="60"/>
      <c r="O28" s="45"/>
      <c r="P28" s="45"/>
      <c r="Q28" s="45"/>
      <c r="R28" s="45"/>
      <c r="S28" s="56"/>
      <c r="T28" s="45"/>
      <c r="U28" s="45"/>
      <c r="V28" s="64"/>
    </row>
    <row r="29" spans="1:22" s="66" customFormat="1" ht="19.5">
      <c r="A29" s="381"/>
      <c r="B29" s="398"/>
      <c r="C29" s="62" t="s">
        <v>96</v>
      </c>
      <c r="D29" s="55"/>
      <c r="E29" s="56"/>
      <c r="F29" s="45"/>
      <c r="G29" s="45"/>
      <c r="H29" s="60"/>
      <c r="I29" s="45"/>
      <c r="J29" s="60"/>
      <c r="K29" s="45"/>
      <c r="L29" s="60"/>
      <c r="M29" s="45"/>
      <c r="N29" s="60"/>
      <c r="O29" s="45"/>
      <c r="P29" s="45"/>
      <c r="Q29" s="45"/>
      <c r="R29" s="45"/>
      <c r="S29" s="56"/>
      <c r="T29" s="45"/>
      <c r="U29" s="45"/>
      <c r="V29" s="65">
        <f>SUM(V25:V28)</f>
        <v>4196.658969818279</v>
      </c>
    </row>
    <row r="30" spans="1:22" s="66" customFormat="1" ht="37.5">
      <c r="A30" s="399" t="s">
        <v>108</v>
      </c>
      <c r="B30" s="396" t="s">
        <v>109</v>
      </c>
      <c r="C30" s="54" t="s">
        <v>92</v>
      </c>
      <c r="D30" s="55">
        <v>1</v>
      </c>
      <c r="E30" s="77">
        <f>E9</f>
        <v>30393.622</v>
      </c>
      <c r="F30" s="45">
        <f>1973/12</f>
        <v>164.41666666666666</v>
      </c>
      <c r="G30" s="45">
        <f>E30/F30</f>
        <v>184.85730562595035</v>
      </c>
      <c r="H30" s="60">
        <v>0</v>
      </c>
      <c r="I30" s="45">
        <f>G30/100*H30</f>
        <v>0</v>
      </c>
      <c r="J30" s="60">
        <v>50</v>
      </c>
      <c r="K30" s="45">
        <f>(G30+I30)/100*J30</f>
        <v>92.42865281297517</v>
      </c>
      <c r="L30" s="60">
        <v>26</v>
      </c>
      <c r="M30" s="45">
        <f>G30/100*L30</f>
        <v>48.06289946274709</v>
      </c>
      <c r="N30" s="60">
        <v>0</v>
      </c>
      <c r="O30" s="45">
        <f>G30/100*N30</f>
        <v>0</v>
      </c>
      <c r="P30" s="45">
        <f>(G30+I30+K30+M30+O30)*0.15</f>
        <v>48.80232868525089</v>
      </c>
      <c r="Q30" s="45">
        <f>(G30+I30+K30+M30+P30+O30)</f>
        <v>374.1511865869235</v>
      </c>
      <c r="R30" s="45">
        <f>Q30*D30</f>
        <v>374.1511865869235</v>
      </c>
      <c r="S30" s="56">
        <v>30.4</v>
      </c>
      <c r="T30" s="45">
        <f>R30/100*S30</f>
        <v>113.74196072242472</v>
      </c>
      <c r="U30" s="45">
        <f>R30+T30</f>
        <v>487.8931473093482</v>
      </c>
      <c r="V30" s="61"/>
    </row>
    <row r="31" spans="1:22" s="66" customFormat="1" ht="37.5">
      <c r="A31" s="400"/>
      <c r="B31" s="397"/>
      <c r="C31" s="54" t="s">
        <v>91</v>
      </c>
      <c r="D31" s="55">
        <v>1</v>
      </c>
      <c r="E31" s="77">
        <f>E8</f>
        <v>53174.456000000006</v>
      </c>
      <c r="F31" s="45">
        <f>1973/12</f>
        <v>164.41666666666666</v>
      </c>
      <c r="G31" s="45">
        <f>E31/F31</f>
        <v>323.4128089204258</v>
      </c>
      <c r="H31" s="60">
        <v>0</v>
      </c>
      <c r="I31" s="45">
        <f>G31/100*H31</f>
        <v>0</v>
      </c>
      <c r="J31" s="60">
        <v>50</v>
      </c>
      <c r="K31" s="45">
        <f>(G31+I31)/100*J31</f>
        <v>161.7064044602129</v>
      </c>
      <c r="L31" s="60">
        <v>26</v>
      </c>
      <c r="M31" s="45">
        <f>G31/100*L31</f>
        <v>84.08733031931071</v>
      </c>
      <c r="N31" s="60">
        <v>0</v>
      </c>
      <c r="O31" s="45">
        <f>G31/100*N31</f>
        <v>0</v>
      </c>
      <c r="P31" s="45">
        <f>(G31+I31+K31+M31+O31)*0.15</f>
        <v>85.3809815549924</v>
      </c>
      <c r="Q31" s="45">
        <f>(G31+I31+K31+M31+P31+O31)</f>
        <v>654.5875252549419</v>
      </c>
      <c r="R31" s="45">
        <f>Q31*D31</f>
        <v>654.5875252549419</v>
      </c>
      <c r="S31" s="56">
        <v>30.4</v>
      </c>
      <c r="T31" s="45">
        <f>R31/100*S31</f>
        <v>198.9946076775023</v>
      </c>
      <c r="U31" s="45">
        <f>R31+T31</f>
        <v>853.5821329324442</v>
      </c>
      <c r="V31" s="61"/>
    </row>
    <row r="32" spans="1:22" s="66" customFormat="1" ht="19.5">
      <c r="A32" s="400"/>
      <c r="B32" s="397"/>
      <c r="C32" s="62" t="s">
        <v>93</v>
      </c>
      <c r="D32" s="55"/>
      <c r="E32" s="56"/>
      <c r="F32" s="45"/>
      <c r="G32" s="45"/>
      <c r="H32" s="60"/>
      <c r="I32" s="45"/>
      <c r="J32" s="60"/>
      <c r="K32" s="45"/>
      <c r="L32" s="60"/>
      <c r="M32" s="45"/>
      <c r="N32" s="60"/>
      <c r="O32" s="45"/>
      <c r="P32" s="45"/>
      <c r="Q32" s="45"/>
      <c r="R32" s="57"/>
      <c r="S32" s="63"/>
      <c r="T32" s="57"/>
      <c r="U32" s="57"/>
      <c r="V32" s="61">
        <f>SUM(R30:R31)</f>
        <v>1028.7387118418653</v>
      </c>
    </row>
    <row r="33" spans="1:22" s="66" customFormat="1" ht="19.5">
      <c r="A33" s="400"/>
      <c r="B33" s="397"/>
      <c r="C33" s="62" t="s">
        <v>94</v>
      </c>
      <c r="D33" s="55"/>
      <c r="E33" s="56"/>
      <c r="F33" s="45"/>
      <c r="G33" s="45"/>
      <c r="H33" s="60"/>
      <c r="I33" s="45"/>
      <c r="J33" s="60"/>
      <c r="K33" s="45"/>
      <c r="L33" s="60"/>
      <c r="M33" s="45"/>
      <c r="N33" s="60"/>
      <c r="O33" s="45"/>
      <c r="P33" s="45"/>
      <c r="Q33" s="45"/>
      <c r="R33" s="45"/>
      <c r="S33" s="56"/>
      <c r="T33" s="45"/>
      <c r="U33" s="45"/>
      <c r="V33" s="61">
        <f>SUM(T30:T31)</f>
        <v>312.736568399927</v>
      </c>
    </row>
    <row r="34" spans="1:22" s="66" customFormat="1" ht="19.5">
      <c r="A34" s="400"/>
      <c r="B34" s="397"/>
      <c r="C34" s="62" t="s">
        <v>95</v>
      </c>
      <c r="D34" s="55"/>
      <c r="E34" s="56"/>
      <c r="F34" s="45"/>
      <c r="G34" s="45"/>
      <c r="H34" s="60"/>
      <c r="I34" s="45"/>
      <c r="J34" s="60"/>
      <c r="K34" s="45"/>
      <c r="L34" s="60"/>
      <c r="M34" s="45"/>
      <c r="N34" s="60"/>
      <c r="O34" s="45"/>
      <c r="P34" s="45"/>
      <c r="Q34" s="45"/>
      <c r="R34" s="45"/>
      <c r="S34" s="56"/>
      <c r="T34" s="45"/>
      <c r="U34" s="45"/>
      <c r="V34" s="64"/>
    </row>
    <row r="35" spans="1:22" s="66" customFormat="1" ht="19.5">
      <c r="A35" s="401"/>
      <c r="B35" s="398"/>
      <c r="C35" s="62" t="s">
        <v>96</v>
      </c>
      <c r="D35" s="55"/>
      <c r="E35" s="56"/>
      <c r="F35" s="45"/>
      <c r="G35" s="45"/>
      <c r="H35" s="60"/>
      <c r="I35" s="45"/>
      <c r="J35" s="60"/>
      <c r="K35" s="45"/>
      <c r="L35" s="60"/>
      <c r="M35" s="45"/>
      <c r="N35" s="60"/>
      <c r="O35" s="45"/>
      <c r="P35" s="45"/>
      <c r="Q35" s="45"/>
      <c r="R35" s="45"/>
      <c r="S35" s="56"/>
      <c r="T35" s="45"/>
      <c r="U35" s="45"/>
      <c r="V35" s="65">
        <f>V32+V33+V34</f>
        <v>1341.4752802417925</v>
      </c>
    </row>
    <row r="36" spans="1:22" s="66" customFormat="1" ht="36" customHeight="1">
      <c r="A36" s="383" t="s">
        <v>110</v>
      </c>
      <c r="B36" s="402" t="s">
        <v>111</v>
      </c>
      <c r="C36" s="54" t="s">
        <v>90</v>
      </c>
      <c r="D36" s="55">
        <v>1</v>
      </c>
      <c r="E36" s="77">
        <f>E7</f>
        <v>61119.872</v>
      </c>
      <c r="F36" s="45">
        <f>1973/12</f>
        <v>164.41666666666666</v>
      </c>
      <c r="G36" s="45">
        <f>E36/F36</f>
        <v>371.7376908261531</v>
      </c>
      <c r="H36" s="60">
        <v>0</v>
      </c>
      <c r="I36" s="45">
        <f>G36/100*H36</f>
        <v>0</v>
      </c>
      <c r="J36" s="60">
        <v>50</v>
      </c>
      <c r="K36" s="45">
        <f>(G36+I36)/100*J36</f>
        <v>185.86884541307654</v>
      </c>
      <c r="L36" s="60">
        <v>26</v>
      </c>
      <c r="M36" s="45">
        <f>G36/100*L36</f>
        <v>96.6517996147998</v>
      </c>
      <c r="N36" s="60">
        <v>0</v>
      </c>
      <c r="O36" s="45">
        <f>G36/100*N36</f>
        <v>0</v>
      </c>
      <c r="P36" s="45">
        <f>(G36+I36+K36+M36+O36)*0.15</f>
        <v>98.1387503781044</v>
      </c>
      <c r="Q36" s="45">
        <f>(G36+I36+K36+M36+P36+O36)</f>
        <v>752.3970862321338</v>
      </c>
      <c r="R36" s="45">
        <f>Q36*D36</f>
        <v>752.3970862321338</v>
      </c>
      <c r="S36" s="56">
        <v>30.4</v>
      </c>
      <c r="T36" s="45">
        <f>R36/100*S36</f>
        <v>228.72871421456867</v>
      </c>
      <c r="U36" s="45">
        <f>R36+T36</f>
        <v>981.1258004467024</v>
      </c>
      <c r="V36" s="58"/>
    </row>
    <row r="37" spans="1:22" s="66" customFormat="1" ht="37.5">
      <c r="A37" s="383"/>
      <c r="B37" s="402"/>
      <c r="C37" s="54" t="s">
        <v>91</v>
      </c>
      <c r="D37" s="55">
        <v>1</v>
      </c>
      <c r="E37" s="77">
        <f>E8</f>
        <v>53174.456000000006</v>
      </c>
      <c r="F37" s="45">
        <f>1973/12</f>
        <v>164.41666666666666</v>
      </c>
      <c r="G37" s="45">
        <f>E37/F37</f>
        <v>323.4128089204258</v>
      </c>
      <c r="H37" s="60">
        <v>0</v>
      </c>
      <c r="I37" s="45">
        <f>G37/100*H37</f>
        <v>0</v>
      </c>
      <c r="J37" s="60">
        <v>50</v>
      </c>
      <c r="K37" s="45">
        <f>(G37+I37)/100*J37</f>
        <v>161.7064044602129</v>
      </c>
      <c r="L37" s="60">
        <v>26</v>
      </c>
      <c r="M37" s="45">
        <f>G37/100*L37</f>
        <v>84.08733031931071</v>
      </c>
      <c r="N37" s="60">
        <v>0</v>
      </c>
      <c r="O37" s="45">
        <f>G37/100*N37</f>
        <v>0</v>
      </c>
      <c r="P37" s="45">
        <f>(G37+I37+K37+M37+O37)*0.15</f>
        <v>85.3809815549924</v>
      </c>
      <c r="Q37" s="45">
        <f>(G37+I37+K37+M37+P37+O37)</f>
        <v>654.5875252549419</v>
      </c>
      <c r="R37" s="45">
        <f>Q37*D37</f>
        <v>654.5875252549419</v>
      </c>
      <c r="S37" s="56">
        <v>30.4</v>
      </c>
      <c r="T37" s="45">
        <f>R37/100*S37</f>
        <v>198.9946076775023</v>
      </c>
      <c r="U37" s="45">
        <f>R37+T37</f>
        <v>853.5821329324442</v>
      </c>
      <c r="V37" s="58"/>
    </row>
    <row r="38" spans="1:22" s="66" customFormat="1" ht="18.75">
      <c r="A38" s="383"/>
      <c r="B38" s="402"/>
      <c r="C38" s="54" t="s">
        <v>99</v>
      </c>
      <c r="D38" s="55">
        <v>1</v>
      </c>
      <c r="E38" s="77">
        <f>E20</f>
        <v>40193.596000000005</v>
      </c>
      <c r="F38" s="45">
        <f>1973/12</f>
        <v>164.41666666666666</v>
      </c>
      <c r="G38" s="45">
        <f>E38/F38</f>
        <v>244.46181044095292</v>
      </c>
      <c r="H38" s="60">
        <v>0</v>
      </c>
      <c r="I38" s="45">
        <f>G38/100*H38</f>
        <v>0</v>
      </c>
      <c r="J38" s="60">
        <v>50</v>
      </c>
      <c r="K38" s="45">
        <f>(G38+I38)/100*J38</f>
        <v>122.23090522047646</v>
      </c>
      <c r="L38" s="60">
        <v>24</v>
      </c>
      <c r="M38" s="45">
        <f>G38/100*L38</f>
        <v>58.6708345058287</v>
      </c>
      <c r="N38" s="60">
        <v>0</v>
      </c>
      <c r="O38" s="45">
        <f>G38/100*N38</f>
        <v>0</v>
      </c>
      <c r="P38" s="45">
        <f>(G38+I38+K38+M38+O38)*0.15</f>
        <v>63.8045325250887</v>
      </c>
      <c r="Q38" s="45">
        <f>(G38+I38+K38+M38+P38+O38)</f>
        <v>489.16808269234673</v>
      </c>
      <c r="R38" s="45">
        <f>Q38*D38</f>
        <v>489.16808269234673</v>
      </c>
      <c r="S38" s="56">
        <v>30.4</v>
      </c>
      <c r="T38" s="45">
        <f>R38/100*S38</f>
        <v>148.70709713847342</v>
      </c>
      <c r="U38" s="45">
        <f>R38+T38</f>
        <v>637.8751798308201</v>
      </c>
      <c r="V38" s="58"/>
    </row>
    <row r="39" spans="1:22" s="66" customFormat="1" ht="18.75">
      <c r="A39" s="383"/>
      <c r="B39" s="402"/>
      <c r="C39" s="54" t="s">
        <v>112</v>
      </c>
      <c r="D39" s="55">
        <v>1</v>
      </c>
      <c r="E39" s="59">
        <f>33410*1.046</f>
        <v>34946.86</v>
      </c>
      <c r="F39" s="45">
        <f>1973/12</f>
        <v>164.41666666666666</v>
      </c>
      <c r="G39" s="45">
        <f>E39/F39</f>
        <v>212.55059300557528</v>
      </c>
      <c r="H39" s="60">
        <v>0</v>
      </c>
      <c r="I39" s="45">
        <f>G39/100*H39</f>
        <v>0</v>
      </c>
      <c r="J39" s="60">
        <v>50</v>
      </c>
      <c r="K39" s="45">
        <f>(G39+I39)/100*J39</f>
        <v>106.27529650278764</v>
      </c>
      <c r="L39" s="60">
        <v>26</v>
      </c>
      <c r="M39" s="45">
        <f>G39/100*L39</f>
        <v>55.26315418144957</v>
      </c>
      <c r="N39" s="60">
        <v>0</v>
      </c>
      <c r="O39" s="45">
        <f>G39/100*N39</f>
        <v>0</v>
      </c>
      <c r="P39" s="45">
        <f>(G39+I39+K39+M39+O39)*0.15</f>
        <v>56.113356553471874</v>
      </c>
      <c r="Q39" s="45">
        <f>(G39+I39+K39+M39+P39+O39)</f>
        <v>430.2024002432844</v>
      </c>
      <c r="R39" s="45">
        <f>Q39*D39</f>
        <v>430.2024002432844</v>
      </c>
      <c r="S39" s="56">
        <v>30.4</v>
      </c>
      <c r="T39" s="45">
        <f>R39/100*S39</f>
        <v>130.78152967395843</v>
      </c>
      <c r="U39" s="45">
        <f>R39+T39</f>
        <v>560.9839299172428</v>
      </c>
      <c r="V39" s="58"/>
    </row>
    <row r="40" spans="1:22" s="66" customFormat="1" ht="37.5">
      <c r="A40" s="383"/>
      <c r="B40" s="402"/>
      <c r="C40" s="54" t="s">
        <v>92</v>
      </c>
      <c r="D40" s="55">
        <v>1.5</v>
      </c>
      <c r="E40" s="77">
        <f>E9</f>
        <v>30393.622</v>
      </c>
      <c r="F40" s="45">
        <f>1973/12</f>
        <v>164.41666666666666</v>
      </c>
      <c r="G40" s="45">
        <f>E40/F40</f>
        <v>184.85730562595035</v>
      </c>
      <c r="H40" s="60">
        <v>0</v>
      </c>
      <c r="I40" s="45">
        <f>G40/100*H40</f>
        <v>0</v>
      </c>
      <c r="J40" s="60">
        <v>50</v>
      </c>
      <c r="K40" s="45">
        <f>(G40+I40)/100*J40</f>
        <v>92.42865281297517</v>
      </c>
      <c r="L40" s="60">
        <v>26</v>
      </c>
      <c r="M40" s="45">
        <f>G40/100*L40</f>
        <v>48.06289946274709</v>
      </c>
      <c r="N40" s="60">
        <v>0</v>
      </c>
      <c r="O40" s="45">
        <f>G40/100*N40</f>
        <v>0</v>
      </c>
      <c r="P40" s="45">
        <f>(G40+I40+K40+M40+O40)*0.15</f>
        <v>48.80232868525089</v>
      </c>
      <c r="Q40" s="45">
        <f>(G40+I40+K40+M40+P40+O40)</f>
        <v>374.1511865869235</v>
      </c>
      <c r="R40" s="45">
        <f>Q40*D40</f>
        <v>561.2267798803853</v>
      </c>
      <c r="S40" s="56">
        <v>30.4</v>
      </c>
      <c r="T40" s="45">
        <f>R40/100*S40</f>
        <v>170.6129410836371</v>
      </c>
      <c r="U40" s="45">
        <f>R40+T40</f>
        <v>731.8397209640224</v>
      </c>
      <c r="V40" s="58"/>
    </row>
    <row r="41" spans="1:22" ht="19.5">
      <c r="A41" s="383"/>
      <c r="B41" s="402"/>
      <c r="C41" s="62" t="s">
        <v>93</v>
      </c>
      <c r="D41" s="68"/>
      <c r="E41" s="56"/>
      <c r="F41" s="45"/>
      <c r="G41" s="45"/>
      <c r="H41" s="56"/>
      <c r="I41" s="45"/>
      <c r="J41" s="56"/>
      <c r="K41" s="45"/>
      <c r="L41" s="56"/>
      <c r="M41" s="45"/>
      <c r="N41" s="56"/>
      <c r="O41" s="45"/>
      <c r="P41" s="45"/>
      <c r="Q41" s="45"/>
      <c r="R41" s="45"/>
      <c r="S41" s="56"/>
      <c r="T41" s="45"/>
      <c r="U41" s="45"/>
      <c r="V41" s="69">
        <f>SUM(R36:R40)</f>
        <v>2887.5818743030923</v>
      </c>
    </row>
    <row r="42" spans="1:22" ht="19.5">
      <c r="A42" s="383"/>
      <c r="B42" s="402"/>
      <c r="C42" s="62" t="s">
        <v>94</v>
      </c>
      <c r="D42" s="68"/>
      <c r="E42" s="56"/>
      <c r="F42" s="45"/>
      <c r="G42" s="45"/>
      <c r="H42" s="56"/>
      <c r="I42" s="45"/>
      <c r="J42" s="56"/>
      <c r="K42" s="45"/>
      <c r="L42" s="56"/>
      <c r="M42" s="45"/>
      <c r="N42" s="56"/>
      <c r="O42" s="45"/>
      <c r="P42" s="45"/>
      <c r="Q42" s="45"/>
      <c r="R42" s="45"/>
      <c r="S42" s="56"/>
      <c r="T42" s="45"/>
      <c r="U42" s="45"/>
      <c r="V42" s="69">
        <f>SUM(T36:T40)</f>
        <v>877.8248897881399</v>
      </c>
    </row>
    <row r="43" spans="1:22" ht="19.5">
      <c r="A43" s="383"/>
      <c r="B43" s="402"/>
      <c r="C43" s="62" t="s">
        <v>95</v>
      </c>
      <c r="D43" s="68"/>
      <c r="E43" s="56"/>
      <c r="F43" s="45"/>
      <c r="G43" s="45"/>
      <c r="H43" s="56"/>
      <c r="I43" s="45"/>
      <c r="J43" s="56"/>
      <c r="K43" s="45"/>
      <c r="L43" s="56"/>
      <c r="M43" s="45"/>
      <c r="N43" s="56"/>
      <c r="O43" s="45"/>
      <c r="P43" s="45"/>
      <c r="Q43" s="45"/>
      <c r="R43" s="45"/>
      <c r="S43" s="56"/>
      <c r="T43" s="45"/>
      <c r="U43" s="45"/>
      <c r="V43" s="67"/>
    </row>
    <row r="44" spans="1:22" ht="19.5">
      <c r="A44" s="383"/>
      <c r="B44" s="402"/>
      <c r="C44" s="62" t="s">
        <v>96</v>
      </c>
      <c r="D44" s="68"/>
      <c r="E44" s="56"/>
      <c r="F44" s="45"/>
      <c r="G44" s="45"/>
      <c r="H44" s="56"/>
      <c r="I44" s="45"/>
      <c r="J44" s="56"/>
      <c r="K44" s="45"/>
      <c r="L44" s="56"/>
      <c r="M44" s="45"/>
      <c r="N44" s="56"/>
      <c r="O44" s="45"/>
      <c r="P44" s="45"/>
      <c r="Q44" s="45"/>
      <c r="R44" s="45"/>
      <c r="S44" s="56"/>
      <c r="T44" s="45"/>
      <c r="U44" s="45"/>
      <c r="V44" s="70">
        <f>SUM(V41:V43)</f>
        <v>3765.406764091232</v>
      </c>
    </row>
    <row r="45" spans="1:22" s="66" customFormat="1" ht="36" customHeight="1">
      <c r="A45" s="383" t="s">
        <v>113</v>
      </c>
      <c r="B45" s="402" t="s">
        <v>114</v>
      </c>
      <c r="C45" s="54" t="s">
        <v>90</v>
      </c>
      <c r="D45" s="55">
        <v>0.15</v>
      </c>
      <c r="E45" s="77">
        <f>E7</f>
        <v>61119.872</v>
      </c>
      <c r="F45" s="45">
        <f>1973/12</f>
        <v>164.41666666666666</v>
      </c>
      <c r="G45" s="45">
        <f>E45/F45</f>
        <v>371.7376908261531</v>
      </c>
      <c r="H45" s="60">
        <v>0</v>
      </c>
      <c r="I45" s="45">
        <f>G45/100*H45</f>
        <v>0</v>
      </c>
      <c r="J45" s="60">
        <v>50</v>
      </c>
      <c r="K45" s="45">
        <f>(G45+I45)/100*J45</f>
        <v>185.86884541307654</v>
      </c>
      <c r="L45" s="60">
        <v>26</v>
      </c>
      <c r="M45" s="45">
        <f>G45/100*L45</f>
        <v>96.6517996147998</v>
      </c>
      <c r="N45" s="60">
        <v>0</v>
      </c>
      <c r="O45" s="45">
        <f>G45/100*N45</f>
        <v>0</v>
      </c>
      <c r="P45" s="45">
        <f>(G45+I45+K45+M45+O45)*0.15</f>
        <v>98.1387503781044</v>
      </c>
      <c r="Q45" s="45">
        <f>(G45+I45+K45+M45+P45+O45)</f>
        <v>752.3970862321338</v>
      </c>
      <c r="R45" s="45">
        <f>Q45*D45</f>
        <v>112.85956293482006</v>
      </c>
      <c r="S45" s="56">
        <v>30.4</v>
      </c>
      <c r="T45" s="45">
        <f>R45/100*S45</f>
        <v>34.309307132185296</v>
      </c>
      <c r="U45" s="45">
        <f>R45+T45</f>
        <v>147.16887006700534</v>
      </c>
      <c r="V45" s="58"/>
    </row>
    <row r="46" spans="1:22" s="66" customFormat="1" ht="37.5">
      <c r="A46" s="383"/>
      <c r="B46" s="402"/>
      <c r="C46" s="54" t="s">
        <v>91</v>
      </c>
      <c r="D46" s="55">
        <v>3</v>
      </c>
      <c r="E46" s="77">
        <f>E8</f>
        <v>53174.456000000006</v>
      </c>
      <c r="F46" s="45">
        <f>1973/12</f>
        <v>164.41666666666666</v>
      </c>
      <c r="G46" s="45">
        <f>E46/F46</f>
        <v>323.4128089204258</v>
      </c>
      <c r="H46" s="60">
        <v>0</v>
      </c>
      <c r="I46" s="45">
        <f>G46/100*H46</f>
        <v>0</v>
      </c>
      <c r="J46" s="60">
        <v>50</v>
      </c>
      <c r="K46" s="45">
        <f>(G46+I46)/100*J46</f>
        <v>161.7064044602129</v>
      </c>
      <c r="L46" s="60">
        <v>26</v>
      </c>
      <c r="M46" s="45">
        <f>G46/100*L46</f>
        <v>84.08733031931071</v>
      </c>
      <c r="N46" s="60">
        <v>0</v>
      </c>
      <c r="O46" s="45">
        <f>G46/100*N46</f>
        <v>0</v>
      </c>
      <c r="P46" s="45">
        <f>(G46+I46+K46+M46+O46)*0.15</f>
        <v>85.3809815549924</v>
      </c>
      <c r="Q46" s="45">
        <f>(G46+I46+K46+M46+P46+O46)</f>
        <v>654.5875252549419</v>
      </c>
      <c r="R46" s="45">
        <f>Q46*D46</f>
        <v>1963.7625757648257</v>
      </c>
      <c r="S46" s="56">
        <v>30.4</v>
      </c>
      <c r="T46" s="45">
        <f>R46/100*S46</f>
        <v>596.983823032507</v>
      </c>
      <c r="U46" s="45">
        <f>R46+T46</f>
        <v>2560.7463987973324</v>
      </c>
      <c r="V46" s="58"/>
    </row>
    <row r="47" spans="1:22" s="66" customFormat="1" ht="37.5">
      <c r="A47" s="383"/>
      <c r="B47" s="402"/>
      <c r="C47" s="54" t="s">
        <v>92</v>
      </c>
      <c r="D47" s="55">
        <v>3</v>
      </c>
      <c r="E47" s="77">
        <f>E9</f>
        <v>30393.622</v>
      </c>
      <c r="F47" s="45">
        <f>1973/12</f>
        <v>164.41666666666666</v>
      </c>
      <c r="G47" s="45">
        <f>E47/F47</f>
        <v>184.85730562595035</v>
      </c>
      <c r="H47" s="60">
        <v>0</v>
      </c>
      <c r="I47" s="45">
        <f>G47/100*H47</f>
        <v>0</v>
      </c>
      <c r="J47" s="60">
        <v>50</v>
      </c>
      <c r="K47" s="45">
        <f>(G47+I47)/100*J47</f>
        <v>92.42865281297517</v>
      </c>
      <c r="L47" s="60">
        <v>26</v>
      </c>
      <c r="M47" s="45">
        <f>G47/100*L47</f>
        <v>48.06289946274709</v>
      </c>
      <c r="N47" s="60">
        <v>0</v>
      </c>
      <c r="O47" s="45">
        <f>G47/100*N47</f>
        <v>0</v>
      </c>
      <c r="P47" s="45">
        <f>(G47+I47+K47+M47+O47)*0.15</f>
        <v>48.80232868525089</v>
      </c>
      <c r="Q47" s="45">
        <f>(G47+I47+K47+M47+P47+O47)</f>
        <v>374.1511865869235</v>
      </c>
      <c r="R47" s="45">
        <f>Q47*D47</f>
        <v>1122.4535597607705</v>
      </c>
      <c r="S47" s="56">
        <v>30.4</v>
      </c>
      <c r="T47" s="45">
        <f>R47/100*S47</f>
        <v>341.2258821672742</v>
      </c>
      <c r="U47" s="45">
        <f>R47+T47</f>
        <v>1463.6794419280448</v>
      </c>
      <c r="V47" s="58"/>
    </row>
    <row r="48" spans="1:22" ht="19.5">
      <c r="A48" s="383"/>
      <c r="B48" s="402"/>
      <c r="C48" s="62" t="s">
        <v>93</v>
      </c>
      <c r="D48" s="68"/>
      <c r="E48" s="56"/>
      <c r="F48" s="45"/>
      <c r="G48" s="45"/>
      <c r="H48" s="56"/>
      <c r="I48" s="45"/>
      <c r="J48" s="56"/>
      <c r="K48" s="45"/>
      <c r="L48" s="56"/>
      <c r="M48" s="45"/>
      <c r="N48" s="56"/>
      <c r="O48" s="45"/>
      <c r="P48" s="45"/>
      <c r="Q48" s="45"/>
      <c r="R48" s="45"/>
      <c r="S48" s="56"/>
      <c r="T48" s="45"/>
      <c r="U48" s="45"/>
      <c r="V48" s="69">
        <f>SUM(R45:R47)</f>
        <v>3199.0756984604163</v>
      </c>
    </row>
    <row r="49" spans="1:22" ht="19.5">
      <c r="A49" s="383"/>
      <c r="B49" s="402"/>
      <c r="C49" s="62" t="s">
        <v>94</v>
      </c>
      <c r="D49" s="68"/>
      <c r="E49" s="56"/>
      <c r="F49" s="45"/>
      <c r="G49" s="45"/>
      <c r="H49" s="56"/>
      <c r="I49" s="45"/>
      <c r="J49" s="56"/>
      <c r="K49" s="45"/>
      <c r="L49" s="56"/>
      <c r="M49" s="45"/>
      <c r="N49" s="56"/>
      <c r="O49" s="45"/>
      <c r="P49" s="45"/>
      <c r="Q49" s="45"/>
      <c r="R49" s="45"/>
      <c r="S49" s="56"/>
      <c r="T49" s="45"/>
      <c r="U49" s="45"/>
      <c r="V49" s="69">
        <f>SUM(T45:T47)</f>
        <v>972.5190123319665</v>
      </c>
    </row>
    <row r="50" spans="1:22" ht="19.5">
      <c r="A50" s="383"/>
      <c r="B50" s="402"/>
      <c r="C50" s="62" t="s">
        <v>95</v>
      </c>
      <c r="D50" s="68"/>
      <c r="E50" s="56"/>
      <c r="F50" s="45"/>
      <c r="G50" s="45"/>
      <c r="H50" s="56"/>
      <c r="I50" s="45"/>
      <c r="J50" s="56"/>
      <c r="K50" s="45"/>
      <c r="L50" s="56"/>
      <c r="M50" s="45"/>
      <c r="N50" s="56"/>
      <c r="O50" s="45"/>
      <c r="P50" s="45"/>
      <c r="Q50" s="45"/>
      <c r="R50" s="45"/>
      <c r="S50" s="56"/>
      <c r="T50" s="45"/>
      <c r="U50" s="45"/>
      <c r="V50" s="67"/>
    </row>
    <row r="51" spans="1:22" ht="19.5">
      <c r="A51" s="383"/>
      <c r="B51" s="402"/>
      <c r="C51" s="62" t="s">
        <v>96</v>
      </c>
      <c r="D51" s="68"/>
      <c r="E51" s="56"/>
      <c r="F51" s="45"/>
      <c r="G51" s="45"/>
      <c r="H51" s="56"/>
      <c r="I51" s="45"/>
      <c r="J51" s="56"/>
      <c r="K51" s="45"/>
      <c r="L51" s="56"/>
      <c r="M51" s="45"/>
      <c r="N51" s="56"/>
      <c r="O51" s="45"/>
      <c r="P51" s="45"/>
      <c r="Q51" s="45"/>
      <c r="R51" s="45"/>
      <c r="S51" s="56"/>
      <c r="T51" s="45"/>
      <c r="U51" s="45"/>
      <c r="V51" s="70">
        <f>SUM(V48:V50)</f>
        <v>4171.594710792383</v>
      </c>
    </row>
    <row r="52" spans="1:22" s="66" customFormat="1" ht="56.25">
      <c r="A52" s="383" t="s">
        <v>115</v>
      </c>
      <c r="B52" s="402" t="s">
        <v>116</v>
      </c>
      <c r="C52" s="54" t="s">
        <v>117</v>
      </c>
      <c r="D52" s="55">
        <v>2</v>
      </c>
      <c r="E52" s="77">
        <f>E7</f>
        <v>61119.872</v>
      </c>
      <c r="F52" s="45">
        <f>1973/12</f>
        <v>164.41666666666666</v>
      </c>
      <c r="G52" s="45">
        <f>E52/F52</f>
        <v>371.7376908261531</v>
      </c>
      <c r="H52" s="60">
        <v>0</v>
      </c>
      <c r="I52" s="45">
        <f>G52/100*H52</f>
        <v>0</v>
      </c>
      <c r="J52" s="60">
        <v>50</v>
      </c>
      <c r="K52" s="45">
        <f>(G52+I52)/100*J52</f>
        <v>185.86884541307654</v>
      </c>
      <c r="L52" s="60">
        <v>26</v>
      </c>
      <c r="M52" s="45">
        <f>G52/100*L52</f>
        <v>96.6517996147998</v>
      </c>
      <c r="N52" s="60">
        <v>0</v>
      </c>
      <c r="O52" s="45">
        <f>G52/100*N52</f>
        <v>0</v>
      </c>
      <c r="P52" s="45">
        <f>(G52+I52+K52+M52+O52)*0.15</f>
        <v>98.1387503781044</v>
      </c>
      <c r="Q52" s="45">
        <f>(G52+I52+K52+M52+P52+O52)</f>
        <v>752.3970862321338</v>
      </c>
      <c r="R52" s="45">
        <f>Q52*D52</f>
        <v>1504.7941724642676</v>
      </c>
      <c r="S52" s="56">
        <v>30.4</v>
      </c>
      <c r="T52" s="45">
        <f>R52/100*S52</f>
        <v>457.45742842913734</v>
      </c>
      <c r="U52" s="45">
        <f>R52+T52</f>
        <v>1962.2516008934049</v>
      </c>
      <c r="V52" s="58"/>
    </row>
    <row r="53" spans="1:22" s="66" customFormat="1" ht="44.25" customHeight="1">
      <c r="A53" s="383"/>
      <c r="B53" s="402"/>
      <c r="C53" s="54" t="s">
        <v>118</v>
      </c>
      <c r="D53" s="55">
        <v>1</v>
      </c>
      <c r="E53" s="77">
        <f>E7</f>
        <v>61119.872</v>
      </c>
      <c r="F53" s="45">
        <f>1973/12</f>
        <v>164.41666666666666</v>
      </c>
      <c r="G53" s="45">
        <f>E53/F53</f>
        <v>371.7376908261531</v>
      </c>
      <c r="H53" s="60">
        <v>0</v>
      </c>
      <c r="I53" s="45">
        <f>G53/100*H53</f>
        <v>0</v>
      </c>
      <c r="J53" s="60">
        <v>50</v>
      </c>
      <c r="K53" s="45">
        <f>(G53+I53)/100*J53</f>
        <v>185.86884541307654</v>
      </c>
      <c r="L53" s="60">
        <v>26</v>
      </c>
      <c r="M53" s="45">
        <f>G53/100*L53</f>
        <v>96.6517996147998</v>
      </c>
      <c r="N53" s="60">
        <v>0</v>
      </c>
      <c r="O53" s="45">
        <f>G53/100*N53</f>
        <v>0</v>
      </c>
      <c r="P53" s="45">
        <f>(G53+I53+K53+M53+O53)*0.15</f>
        <v>98.1387503781044</v>
      </c>
      <c r="Q53" s="45">
        <f>(G53+I53+K53+M53+P53+O53)</f>
        <v>752.3970862321338</v>
      </c>
      <c r="R53" s="45">
        <f>Q53*D53</f>
        <v>752.3970862321338</v>
      </c>
      <c r="S53" s="56">
        <v>30.4</v>
      </c>
      <c r="T53" s="45">
        <f>R53/100*S53</f>
        <v>228.72871421456867</v>
      </c>
      <c r="U53" s="45">
        <f>R53+T53</f>
        <v>981.1258004467024</v>
      </c>
      <c r="V53" s="58"/>
    </row>
    <row r="54" spans="1:22" s="66" customFormat="1" ht="56.25">
      <c r="A54" s="383"/>
      <c r="B54" s="402"/>
      <c r="C54" s="54" t="s">
        <v>119</v>
      </c>
      <c r="D54" s="55">
        <v>2</v>
      </c>
      <c r="E54" s="77">
        <f>E9</f>
        <v>30393.622</v>
      </c>
      <c r="F54" s="45">
        <f>1973/12</f>
        <v>164.41666666666666</v>
      </c>
      <c r="G54" s="45">
        <f>E54/F54</f>
        <v>184.85730562595035</v>
      </c>
      <c r="H54" s="60">
        <v>0</v>
      </c>
      <c r="I54" s="45">
        <f>G54/100*H54</f>
        <v>0</v>
      </c>
      <c r="J54" s="60">
        <v>50</v>
      </c>
      <c r="K54" s="45">
        <f>(G54+I54)/100*J54</f>
        <v>92.42865281297517</v>
      </c>
      <c r="L54" s="60">
        <v>26</v>
      </c>
      <c r="M54" s="45">
        <f>G54/100*L54</f>
        <v>48.06289946274709</v>
      </c>
      <c r="N54" s="60">
        <v>0</v>
      </c>
      <c r="O54" s="45">
        <f>G54/100*N54</f>
        <v>0</v>
      </c>
      <c r="P54" s="45">
        <f>(G54+I54+K54+M54+O54)*0.15</f>
        <v>48.80232868525089</v>
      </c>
      <c r="Q54" s="45">
        <f>(G54+I54+K54+M54+P54+O54)</f>
        <v>374.1511865869235</v>
      </c>
      <c r="R54" s="45">
        <f>Q54*D54</f>
        <v>748.302373173847</v>
      </c>
      <c r="S54" s="56">
        <v>30.4</v>
      </c>
      <c r="T54" s="45">
        <f>R54/100*S54</f>
        <v>227.48392144484944</v>
      </c>
      <c r="U54" s="45">
        <f>R54+T54</f>
        <v>975.7862946186964</v>
      </c>
      <c r="V54" s="58"/>
    </row>
    <row r="55" spans="1:22" s="66" customFormat="1" ht="56.25">
      <c r="A55" s="383"/>
      <c r="B55" s="402"/>
      <c r="C55" s="54" t="s">
        <v>120</v>
      </c>
      <c r="D55" s="55">
        <v>1</v>
      </c>
      <c r="E55" s="77">
        <f>E9</f>
        <v>30393.622</v>
      </c>
      <c r="F55" s="45">
        <f>1973/12</f>
        <v>164.41666666666666</v>
      </c>
      <c r="G55" s="45">
        <f>E55/F55</f>
        <v>184.85730562595035</v>
      </c>
      <c r="H55" s="60">
        <v>0</v>
      </c>
      <c r="I55" s="45">
        <f>G55/100*H55</f>
        <v>0</v>
      </c>
      <c r="J55" s="60">
        <v>50</v>
      </c>
      <c r="K55" s="45">
        <f>(G55+I55)/100*J55</f>
        <v>92.42865281297517</v>
      </c>
      <c r="L55" s="60">
        <v>26</v>
      </c>
      <c r="M55" s="45">
        <f>G55/100*L55</f>
        <v>48.06289946274709</v>
      </c>
      <c r="N55" s="60">
        <v>0</v>
      </c>
      <c r="O55" s="45">
        <f>G55/100*N55</f>
        <v>0</v>
      </c>
      <c r="P55" s="45">
        <f>(G55+I55+K55+M55+O55)*0.15</f>
        <v>48.80232868525089</v>
      </c>
      <c r="Q55" s="45">
        <f>(G55+I55+K55+M55+P55+O55)</f>
        <v>374.1511865869235</v>
      </c>
      <c r="R55" s="45">
        <f>Q55*D55</f>
        <v>374.1511865869235</v>
      </c>
      <c r="S55" s="56">
        <v>30.4</v>
      </c>
      <c r="T55" s="45">
        <f>R55/100*S55</f>
        <v>113.74196072242472</v>
      </c>
      <c r="U55" s="45">
        <f>R55+T55</f>
        <v>487.8931473093482</v>
      </c>
      <c r="V55" s="58"/>
    </row>
    <row r="56" spans="1:22" s="66" customFormat="1" ht="18.75">
      <c r="A56" s="383"/>
      <c r="B56" s="402"/>
      <c r="C56" s="54" t="s">
        <v>106</v>
      </c>
      <c r="D56" s="55">
        <v>3</v>
      </c>
      <c r="E56" s="77">
        <f>E24</f>
        <v>19990.106</v>
      </c>
      <c r="F56" s="45">
        <f>1973/12</f>
        <v>164.41666666666666</v>
      </c>
      <c r="G56" s="45">
        <f>E56/F56</f>
        <v>121.5819929042068</v>
      </c>
      <c r="H56" s="60">
        <v>0</v>
      </c>
      <c r="I56" s="45">
        <f>G56/100*H56</f>
        <v>0</v>
      </c>
      <c r="J56" s="60">
        <v>50</v>
      </c>
      <c r="K56" s="45">
        <f>(G56+I56)/100*J56</f>
        <v>60.7909964521034</v>
      </c>
      <c r="L56" s="60">
        <v>26</v>
      </c>
      <c r="M56" s="45">
        <f>G56/100*L56</f>
        <v>31.611318155093766</v>
      </c>
      <c r="N56" s="60">
        <v>0</v>
      </c>
      <c r="O56" s="45">
        <f>G56/100*N56</f>
        <v>0</v>
      </c>
      <c r="P56" s="45">
        <f>(G56+I56+K56+M56+O56)*0.15</f>
        <v>32.09764612671059</v>
      </c>
      <c r="Q56" s="45">
        <f>(G56+I56+K56+M56+P56+O56)</f>
        <v>246.08195363811456</v>
      </c>
      <c r="R56" s="45">
        <f>Q56*D56</f>
        <v>738.2458609143437</v>
      </c>
      <c r="S56" s="56">
        <v>30.4</v>
      </c>
      <c r="T56" s="45">
        <f>R56/100*S56</f>
        <v>224.42674171796045</v>
      </c>
      <c r="U56" s="45">
        <f>R56+T56</f>
        <v>962.6726026323041</v>
      </c>
      <c r="V56" s="58"/>
    </row>
    <row r="57" spans="1:22" ht="19.5">
      <c r="A57" s="383"/>
      <c r="B57" s="402"/>
      <c r="C57" s="62" t="s">
        <v>93</v>
      </c>
      <c r="D57" s="68"/>
      <c r="E57" s="56"/>
      <c r="F57" s="45"/>
      <c r="G57" s="45"/>
      <c r="H57" s="56"/>
      <c r="I57" s="45"/>
      <c r="J57" s="56"/>
      <c r="K57" s="45"/>
      <c r="L57" s="56"/>
      <c r="M57" s="45"/>
      <c r="N57" s="56"/>
      <c r="O57" s="45"/>
      <c r="P57" s="45"/>
      <c r="Q57" s="45"/>
      <c r="R57" s="45"/>
      <c r="S57" s="56"/>
      <c r="T57" s="45"/>
      <c r="U57" s="45"/>
      <c r="V57" s="69">
        <f>SUM(R52:R56)</f>
        <v>4117.890679371516</v>
      </c>
    </row>
    <row r="58" spans="1:22" ht="19.5">
      <c r="A58" s="383"/>
      <c r="B58" s="402"/>
      <c r="C58" s="62" t="s">
        <v>94</v>
      </c>
      <c r="D58" s="68"/>
      <c r="E58" s="56"/>
      <c r="F58" s="45"/>
      <c r="G58" s="45"/>
      <c r="H58" s="56"/>
      <c r="I58" s="45"/>
      <c r="J58" s="56"/>
      <c r="K58" s="45"/>
      <c r="L58" s="56"/>
      <c r="M58" s="45"/>
      <c r="N58" s="56"/>
      <c r="O58" s="45"/>
      <c r="P58" s="45"/>
      <c r="Q58" s="45"/>
      <c r="R58" s="45"/>
      <c r="S58" s="56"/>
      <c r="T58" s="45"/>
      <c r="U58" s="45"/>
      <c r="V58" s="69">
        <f>SUM(T52:T56)</f>
        <v>1251.8387665289406</v>
      </c>
    </row>
    <row r="59" spans="1:22" s="66" customFormat="1" ht="19.5">
      <c r="A59" s="383"/>
      <c r="B59" s="402"/>
      <c r="C59" s="62" t="s">
        <v>107</v>
      </c>
      <c r="D59" s="55"/>
      <c r="E59" s="56"/>
      <c r="F59" s="45"/>
      <c r="G59" s="45"/>
      <c r="H59" s="60"/>
      <c r="I59" s="45"/>
      <c r="J59" s="60"/>
      <c r="K59" s="45"/>
      <c r="L59" s="60"/>
      <c r="M59" s="45"/>
      <c r="N59" s="60"/>
      <c r="O59" s="45"/>
      <c r="P59" s="45"/>
      <c r="Q59" s="45"/>
      <c r="R59" s="45"/>
      <c r="S59" s="56"/>
      <c r="T59" s="45"/>
      <c r="U59" s="45"/>
      <c r="V59" s="67">
        <f>ГСМ!H10</f>
        <v>105.83161161216</v>
      </c>
    </row>
    <row r="60" spans="1:22" ht="19.5">
      <c r="A60" s="383"/>
      <c r="B60" s="402"/>
      <c r="C60" s="62" t="s">
        <v>95</v>
      </c>
      <c r="D60" s="68"/>
      <c r="E60" s="56"/>
      <c r="F60" s="45"/>
      <c r="G60" s="45"/>
      <c r="H60" s="56"/>
      <c r="I60" s="45"/>
      <c r="J60" s="56"/>
      <c r="K60" s="45"/>
      <c r="L60" s="56"/>
      <c r="M60" s="45"/>
      <c r="N60" s="56"/>
      <c r="O60" s="45"/>
      <c r="P60" s="45"/>
      <c r="Q60" s="45"/>
      <c r="R60" s="45"/>
      <c r="S60" s="56"/>
      <c r="T60" s="45"/>
      <c r="U60" s="45"/>
      <c r="V60" s="67"/>
    </row>
    <row r="61" spans="1:22" ht="19.5">
      <c r="A61" s="383"/>
      <c r="B61" s="402"/>
      <c r="C61" s="62" t="s">
        <v>96</v>
      </c>
      <c r="D61" s="68"/>
      <c r="E61" s="56"/>
      <c r="F61" s="45"/>
      <c r="G61" s="45"/>
      <c r="H61" s="56"/>
      <c r="I61" s="45"/>
      <c r="J61" s="56"/>
      <c r="K61" s="45"/>
      <c r="L61" s="56"/>
      <c r="M61" s="45"/>
      <c r="N61" s="56"/>
      <c r="O61" s="45"/>
      <c r="P61" s="45"/>
      <c r="Q61" s="45"/>
      <c r="R61" s="45"/>
      <c r="S61" s="56"/>
      <c r="T61" s="45"/>
      <c r="U61" s="45"/>
      <c r="V61" s="70">
        <f>SUM(V57:V60)</f>
        <v>5475.561057512617</v>
      </c>
    </row>
    <row r="62" spans="1:22" s="66" customFormat="1" ht="40.5" customHeight="1">
      <c r="A62" s="383" t="s">
        <v>121</v>
      </c>
      <c r="B62" s="402" t="s">
        <v>122</v>
      </c>
      <c r="C62" s="54" t="s">
        <v>123</v>
      </c>
      <c r="D62" s="55">
        <v>6</v>
      </c>
      <c r="E62" s="59">
        <f>25259*1.046</f>
        <v>26420.914</v>
      </c>
      <c r="F62" s="45">
        <f>1973/12</f>
        <v>164.41666666666666</v>
      </c>
      <c r="G62" s="45">
        <f>E62/F62</f>
        <v>160.69486467308667</v>
      </c>
      <c r="H62" s="60">
        <v>0</v>
      </c>
      <c r="I62" s="45">
        <f>G62/100*H62</f>
        <v>0</v>
      </c>
      <c r="J62" s="60">
        <v>60</v>
      </c>
      <c r="K62" s="45">
        <f>(G62+I62)/100*J62</f>
        <v>96.416918803852</v>
      </c>
      <c r="L62" s="60">
        <v>24</v>
      </c>
      <c r="M62" s="45">
        <f>G62/100*L62</f>
        <v>38.5667675215408</v>
      </c>
      <c r="N62" s="60">
        <v>0</v>
      </c>
      <c r="O62" s="45">
        <f>G62/100*N62</f>
        <v>0</v>
      </c>
      <c r="P62" s="45">
        <f>(G62+I62+K62+M62+O62)*0.15</f>
        <v>44.35178264977192</v>
      </c>
      <c r="Q62" s="45">
        <f>(G62+I62+K62+M62+P62+O62)</f>
        <v>340.03033364825137</v>
      </c>
      <c r="R62" s="45">
        <f>Q62*D62</f>
        <v>2040.1820018895082</v>
      </c>
      <c r="S62" s="56">
        <v>30.4</v>
      </c>
      <c r="T62" s="45">
        <f>R62/100*S62</f>
        <v>620.2153285744105</v>
      </c>
      <c r="U62" s="45">
        <f>R62+T62</f>
        <v>2660.3973304639185</v>
      </c>
      <c r="V62" s="58"/>
    </row>
    <row r="63" spans="1:22" s="66" customFormat="1" ht="44.25" customHeight="1">
      <c r="A63" s="383"/>
      <c r="B63" s="402"/>
      <c r="C63" s="54" t="s">
        <v>90</v>
      </c>
      <c r="D63" s="55">
        <v>0.15</v>
      </c>
      <c r="E63" s="77">
        <f>E7</f>
        <v>61119.872</v>
      </c>
      <c r="F63" s="45">
        <f>1973/12</f>
        <v>164.41666666666666</v>
      </c>
      <c r="G63" s="45">
        <f>E63/F63</f>
        <v>371.7376908261531</v>
      </c>
      <c r="H63" s="60">
        <v>0</v>
      </c>
      <c r="I63" s="45">
        <f>G63/100*H63</f>
        <v>0</v>
      </c>
      <c r="J63" s="60">
        <v>50</v>
      </c>
      <c r="K63" s="45">
        <f>(G63+I63)/100*J63</f>
        <v>185.86884541307654</v>
      </c>
      <c r="L63" s="60">
        <v>26</v>
      </c>
      <c r="M63" s="45">
        <f>G63/100*L63</f>
        <v>96.6517996147998</v>
      </c>
      <c r="N63" s="60">
        <v>0</v>
      </c>
      <c r="O63" s="45">
        <f>G63/100*N63</f>
        <v>0</v>
      </c>
      <c r="P63" s="45">
        <f>(G63+I63+K63+M63+O63)*0.15</f>
        <v>98.1387503781044</v>
      </c>
      <c r="Q63" s="45">
        <f>(G63+I63+K63+M63+P63+O63)</f>
        <v>752.3970862321338</v>
      </c>
      <c r="R63" s="45">
        <f>Q63*D63</f>
        <v>112.85956293482006</v>
      </c>
      <c r="S63" s="56">
        <v>30.4</v>
      </c>
      <c r="T63" s="45">
        <f>R63/100*S63</f>
        <v>34.309307132185296</v>
      </c>
      <c r="U63" s="45">
        <f>R63+T63</f>
        <v>147.16887006700534</v>
      </c>
      <c r="V63" s="58"/>
    </row>
    <row r="64" spans="1:22" s="66" customFormat="1" ht="56.25">
      <c r="A64" s="383"/>
      <c r="B64" s="402"/>
      <c r="C64" s="54" t="s">
        <v>124</v>
      </c>
      <c r="D64" s="55">
        <v>7</v>
      </c>
      <c r="E64" s="59">
        <f>33410*1.046</f>
        <v>34946.86</v>
      </c>
      <c r="F64" s="45">
        <f>1973/12</f>
        <v>164.41666666666666</v>
      </c>
      <c r="G64" s="45">
        <f>E64/F64</f>
        <v>212.55059300557528</v>
      </c>
      <c r="H64" s="60">
        <v>0</v>
      </c>
      <c r="I64" s="45">
        <f>G64/100*H64</f>
        <v>0</v>
      </c>
      <c r="J64" s="60">
        <v>50</v>
      </c>
      <c r="K64" s="45">
        <f>(G64+I64)/100*J64</f>
        <v>106.27529650278764</v>
      </c>
      <c r="L64" s="60">
        <v>26</v>
      </c>
      <c r="M64" s="45">
        <f>G64/100*L64</f>
        <v>55.26315418144957</v>
      </c>
      <c r="N64" s="60">
        <v>0</v>
      </c>
      <c r="O64" s="45">
        <f>G64/100*N64</f>
        <v>0</v>
      </c>
      <c r="P64" s="45">
        <f>(G64+I64+K64+M64+O64)*0.15</f>
        <v>56.113356553471874</v>
      </c>
      <c r="Q64" s="45">
        <f>(G64+I64+K64+M64+P64+O64)</f>
        <v>430.2024002432844</v>
      </c>
      <c r="R64" s="45">
        <f>Q64*D64</f>
        <v>3011.4168017029906</v>
      </c>
      <c r="S64" s="56">
        <v>30.4</v>
      </c>
      <c r="T64" s="45">
        <f>R64/100*S64</f>
        <v>915.4707077177092</v>
      </c>
      <c r="U64" s="45">
        <f>R64+T64</f>
        <v>3926.8875094206996</v>
      </c>
      <c r="V64" s="58"/>
    </row>
    <row r="65" spans="1:22" s="66" customFormat="1" ht="37.5">
      <c r="A65" s="383"/>
      <c r="B65" s="402"/>
      <c r="C65" s="54" t="s">
        <v>125</v>
      </c>
      <c r="D65" s="55">
        <v>1</v>
      </c>
      <c r="E65" s="77">
        <f>E64</f>
        <v>34946.86</v>
      </c>
      <c r="F65" s="45">
        <f>1973/12</f>
        <v>164.41666666666666</v>
      </c>
      <c r="G65" s="45">
        <f>E65/F65</f>
        <v>212.55059300557528</v>
      </c>
      <c r="H65" s="60">
        <v>0</v>
      </c>
      <c r="I65" s="45">
        <f>G65/100*H65</f>
        <v>0</v>
      </c>
      <c r="J65" s="60">
        <v>50</v>
      </c>
      <c r="K65" s="45">
        <f>(G65+I65)/100*J65</f>
        <v>106.27529650278764</v>
      </c>
      <c r="L65" s="60">
        <v>26</v>
      </c>
      <c r="M65" s="45">
        <f>G65/100*L65</f>
        <v>55.26315418144957</v>
      </c>
      <c r="N65" s="60">
        <v>0</v>
      </c>
      <c r="O65" s="45">
        <f>G65/100*N65</f>
        <v>0</v>
      </c>
      <c r="P65" s="45">
        <f>(G65+I65+K65+M65+O65)*0.15</f>
        <v>56.113356553471874</v>
      </c>
      <c r="Q65" s="45">
        <f>(G65+I65+K65+M65+P65+O65)</f>
        <v>430.2024002432844</v>
      </c>
      <c r="R65" s="45">
        <f>Q65*D65</f>
        <v>430.2024002432844</v>
      </c>
      <c r="S65" s="56">
        <v>30.4</v>
      </c>
      <c r="T65" s="45">
        <f>R65/100*S65</f>
        <v>130.78152967395843</v>
      </c>
      <c r="U65" s="45">
        <f>R65+T65</f>
        <v>560.9839299172428</v>
      </c>
      <c r="V65" s="58"/>
    </row>
    <row r="66" spans="1:22" s="66" customFormat="1" ht="18.75">
      <c r="A66" s="383"/>
      <c r="B66" s="402"/>
      <c r="C66" s="54" t="s">
        <v>106</v>
      </c>
      <c r="D66" s="55">
        <v>2</v>
      </c>
      <c r="E66" s="77">
        <f>E24</f>
        <v>19990.106</v>
      </c>
      <c r="F66" s="45">
        <f>1973/12</f>
        <v>164.41666666666666</v>
      </c>
      <c r="G66" s="45">
        <f>E66/F66</f>
        <v>121.5819929042068</v>
      </c>
      <c r="H66" s="60">
        <v>0</v>
      </c>
      <c r="I66" s="45">
        <f>G66/100*H66</f>
        <v>0</v>
      </c>
      <c r="J66" s="60">
        <v>50</v>
      </c>
      <c r="K66" s="45">
        <f>(G66+I66)/100*J66</f>
        <v>60.7909964521034</v>
      </c>
      <c r="L66" s="60">
        <v>26</v>
      </c>
      <c r="M66" s="45">
        <f>G66/100*L66</f>
        <v>31.611318155093766</v>
      </c>
      <c r="N66" s="60">
        <v>0</v>
      </c>
      <c r="O66" s="45">
        <f>G66/100*N66</f>
        <v>0</v>
      </c>
      <c r="P66" s="45">
        <f>(G66+I66+K66+M66+O66)*0.15</f>
        <v>32.09764612671059</v>
      </c>
      <c r="Q66" s="45">
        <f>(G66+I66+K66+M66+P66+O66)</f>
        <v>246.08195363811456</v>
      </c>
      <c r="R66" s="45">
        <f>Q66*D66</f>
        <v>492.1639072762291</v>
      </c>
      <c r="S66" s="56">
        <v>30.4</v>
      </c>
      <c r="T66" s="45">
        <f>R66/100*S66</f>
        <v>149.61782781197365</v>
      </c>
      <c r="U66" s="45">
        <f>R66+T66</f>
        <v>641.7817350882028</v>
      </c>
      <c r="V66" s="58"/>
    </row>
    <row r="67" spans="1:22" ht="19.5">
      <c r="A67" s="383"/>
      <c r="B67" s="402"/>
      <c r="C67" s="62" t="s">
        <v>93</v>
      </c>
      <c r="D67" s="68"/>
      <c r="E67" s="56"/>
      <c r="F67" s="45"/>
      <c r="G67" s="45"/>
      <c r="H67" s="56"/>
      <c r="I67" s="45"/>
      <c r="J67" s="56"/>
      <c r="K67" s="45"/>
      <c r="L67" s="56"/>
      <c r="M67" s="45"/>
      <c r="N67" s="56"/>
      <c r="O67" s="45"/>
      <c r="P67" s="45"/>
      <c r="Q67" s="45"/>
      <c r="R67" s="45"/>
      <c r="S67" s="56"/>
      <c r="T67" s="45"/>
      <c r="U67" s="45"/>
      <c r="V67" s="69">
        <f>SUM(R62:R66)</f>
        <v>6086.824674046832</v>
      </c>
    </row>
    <row r="68" spans="1:22" ht="19.5">
      <c r="A68" s="383"/>
      <c r="B68" s="402"/>
      <c r="C68" s="62" t="s">
        <v>94</v>
      </c>
      <c r="D68" s="68"/>
      <c r="E68" s="56"/>
      <c r="F68" s="45"/>
      <c r="G68" s="45"/>
      <c r="H68" s="56"/>
      <c r="I68" s="45"/>
      <c r="J68" s="56"/>
      <c r="K68" s="45"/>
      <c r="L68" s="56"/>
      <c r="M68" s="45"/>
      <c r="N68" s="56"/>
      <c r="O68" s="45"/>
      <c r="P68" s="45"/>
      <c r="Q68" s="45"/>
      <c r="R68" s="45"/>
      <c r="S68" s="56"/>
      <c r="T68" s="45"/>
      <c r="U68" s="45"/>
      <c r="V68" s="69">
        <f>SUM(T62:T66)</f>
        <v>1850.394700910237</v>
      </c>
    </row>
    <row r="69" spans="1:22" s="66" customFormat="1" ht="19.5">
      <c r="A69" s="383"/>
      <c r="B69" s="402"/>
      <c r="C69" s="62" t="s">
        <v>107</v>
      </c>
      <c r="D69" s="55"/>
      <c r="E69" s="56"/>
      <c r="F69" s="45"/>
      <c r="G69" s="45"/>
      <c r="H69" s="60"/>
      <c r="I69" s="45"/>
      <c r="J69" s="60"/>
      <c r="K69" s="45"/>
      <c r="L69" s="60"/>
      <c r="M69" s="45"/>
      <c r="N69" s="60"/>
      <c r="O69" s="45"/>
      <c r="P69" s="45"/>
      <c r="Q69" s="45"/>
      <c r="R69" s="45"/>
      <c r="S69" s="56"/>
      <c r="T69" s="45"/>
      <c r="U69" s="45"/>
      <c r="V69" s="67">
        <f>ГСМ!H10</f>
        <v>105.83161161216</v>
      </c>
    </row>
    <row r="70" spans="1:22" ht="19.5">
      <c r="A70" s="383"/>
      <c r="B70" s="402"/>
      <c r="C70" s="62" t="s">
        <v>95</v>
      </c>
      <c r="D70" s="68"/>
      <c r="E70" s="56"/>
      <c r="F70" s="45"/>
      <c r="G70" s="45"/>
      <c r="H70" s="56"/>
      <c r="I70" s="45"/>
      <c r="J70" s="56"/>
      <c r="K70" s="45"/>
      <c r="L70" s="56"/>
      <c r="M70" s="45"/>
      <c r="N70" s="56"/>
      <c r="O70" s="45"/>
      <c r="P70" s="45"/>
      <c r="Q70" s="45"/>
      <c r="R70" s="45"/>
      <c r="S70" s="56"/>
      <c r="T70" s="45"/>
      <c r="U70" s="45"/>
      <c r="V70" s="67"/>
    </row>
    <row r="71" spans="1:22" ht="19.5">
      <c r="A71" s="383"/>
      <c r="B71" s="402"/>
      <c r="C71" s="62" t="s">
        <v>96</v>
      </c>
      <c r="D71" s="68"/>
      <c r="E71" s="56"/>
      <c r="F71" s="45"/>
      <c r="G71" s="45"/>
      <c r="H71" s="56"/>
      <c r="I71" s="45"/>
      <c r="J71" s="56"/>
      <c r="K71" s="45"/>
      <c r="L71" s="56"/>
      <c r="M71" s="45"/>
      <c r="N71" s="56"/>
      <c r="O71" s="45"/>
      <c r="P71" s="45"/>
      <c r="Q71" s="45"/>
      <c r="R71" s="45"/>
      <c r="S71" s="56"/>
      <c r="T71" s="45"/>
      <c r="U71" s="45"/>
      <c r="V71" s="70">
        <f>SUM(V67:V70)</f>
        <v>8043.050986569228</v>
      </c>
    </row>
    <row r="72" spans="1:22" ht="37.5">
      <c r="A72" s="403" t="s">
        <v>126</v>
      </c>
      <c r="B72" s="396" t="s">
        <v>127</v>
      </c>
      <c r="C72" s="54" t="s">
        <v>123</v>
      </c>
      <c r="D72" s="55">
        <v>6</v>
      </c>
      <c r="E72" s="77">
        <f>E62</f>
        <v>26420.914</v>
      </c>
      <c r="F72" s="45">
        <f>1973/12</f>
        <v>164.41666666666666</v>
      </c>
      <c r="G72" s="45">
        <f>E72/F72</f>
        <v>160.69486467308667</v>
      </c>
      <c r="H72" s="56">
        <v>0</v>
      </c>
      <c r="I72" s="45">
        <f>G72/100*H72</f>
        <v>0</v>
      </c>
      <c r="J72" s="56">
        <v>60</v>
      </c>
      <c r="K72" s="45">
        <f>(G72+I72)/100*J72</f>
        <v>96.416918803852</v>
      </c>
      <c r="L72" s="56">
        <v>24</v>
      </c>
      <c r="M72" s="45">
        <f>G72/100*L72</f>
        <v>38.5667675215408</v>
      </c>
      <c r="N72" s="60">
        <v>0</v>
      </c>
      <c r="O72" s="45">
        <f>G72/100*N72</f>
        <v>0</v>
      </c>
      <c r="P72" s="45">
        <f>(G72+I72+K72+M72+O72)*0.15</f>
        <v>44.35178264977192</v>
      </c>
      <c r="Q72" s="45">
        <f>(G72+I72+K72+M72+P72+O72)</f>
        <v>340.03033364825137</v>
      </c>
      <c r="R72" s="45">
        <f>Q72*D72</f>
        <v>2040.1820018895082</v>
      </c>
      <c r="S72" s="56">
        <v>30.4</v>
      </c>
      <c r="T72" s="45">
        <f>R72/100*S72</f>
        <v>620.2153285744105</v>
      </c>
      <c r="U72" s="45">
        <f>R72+T72</f>
        <v>2660.3973304639185</v>
      </c>
      <c r="V72" s="69"/>
    </row>
    <row r="73" spans="1:22" ht="19.5">
      <c r="A73" s="404"/>
      <c r="B73" s="397"/>
      <c r="C73" s="71" t="s">
        <v>93</v>
      </c>
      <c r="D73" s="68"/>
      <c r="E73" s="59"/>
      <c r="F73" s="45"/>
      <c r="G73" s="45"/>
      <c r="H73" s="56"/>
      <c r="I73" s="45"/>
      <c r="J73" s="56"/>
      <c r="K73" s="45"/>
      <c r="L73" s="56"/>
      <c r="M73" s="45"/>
      <c r="N73" s="56"/>
      <c r="O73" s="45"/>
      <c r="P73" s="45"/>
      <c r="Q73" s="45"/>
      <c r="R73" s="45"/>
      <c r="S73" s="56"/>
      <c r="T73" s="45"/>
      <c r="U73" s="45"/>
      <c r="V73" s="69">
        <f>SUM(R72:R72)</f>
        <v>2040.1820018895082</v>
      </c>
    </row>
    <row r="74" spans="1:22" ht="19.5">
      <c r="A74" s="404"/>
      <c r="B74" s="397"/>
      <c r="C74" s="71" t="s">
        <v>94</v>
      </c>
      <c r="D74" s="68"/>
      <c r="E74" s="59"/>
      <c r="F74" s="45"/>
      <c r="G74" s="45"/>
      <c r="H74" s="56"/>
      <c r="I74" s="45"/>
      <c r="J74" s="56"/>
      <c r="K74" s="45"/>
      <c r="L74" s="56"/>
      <c r="M74" s="45"/>
      <c r="N74" s="56"/>
      <c r="O74" s="45"/>
      <c r="P74" s="45"/>
      <c r="Q74" s="45"/>
      <c r="R74" s="45"/>
      <c r="S74" s="56"/>
      <c r="T74" s="45"/>
      <c r="U74" s="45"/>
      <c r="V74" s="69">
        <f>SUM(T72:T72)</f>
        <v>620.2153285744105</v>
      </c>
    </row>
    <row r="75" spans="1:22" ht="19.5">
      <c r="A75" s="404"/>
      <c r="B75" s="397"/>
      <c r="C75" s="71" t="s">
        <v>95</v>
      </c>
      <c r="D75" s="68"/>
      <c r="E75" s="59"/>
      <c r="F75" s="45"/>
      <c r="G75" s="45"/>
      <c r="H75" s="56"/>
      <c r="I75" s="45"/>
      <c r="J75" s="56"/>
      <c r="K75" s="45"/>
      <c r="L75" s="56"/>
      <c r="M75" s="45"/>
      <c r="N75" s="56"/>
      <c r="O75" s="45"/>
      <c r="P75" s="45"/>
      <c r="Q75" s="45"/>
      <c r="R75" s="45"/>
      <c r="S75" s="56"/>
      <c r="T75" s="45"/>
      <c r="U75" s="45"/>
      <c r="V75" s="67"/>
    </row>
    <row r="76" spans="1:22" ht="19.5">
      <c r="A76" s="405"/>
      <c r="B76" s="398"/>
      <c r="C76" s="71" t="s">
        <v>96</v>
      </c>
      <c r="D76" s="68"/>
      <c r="E76" s="59"/>
      <c r="F76" s="45"/>
      <c r="G76" s="45"/>
      <c r="H76" s="56"/>
      <c r="I76" s="45"/>
      <c r="J76" s="56"/>
      <c r="K76" s="45"/>
      <c r="L76" s="56"/>
      <c r="M76" s="45"/>
      <c r="N76" s="56"/>
      <c r="O76" s="45"/>
      <c r="P76" s="45"/>
      <c r="Q76" s="45"/>
      <c r="R76" s="45"/>
      <c r="S76" s="56"/>
      <c r="T76" s="45"/>
      <c r="U76" s="45"/>
      <c r="V76" s="70">
        <f>SUM(V73:V75)</f>
        <v>2660.3973304639185</v>
      </c>
    </row>
    <row r="77" spans="1:22" ht="18.75">
      <c r="A77" s="403"/>
      <c r="B77" s="406" t="s">
        <v>128</v>
      </c>
      <c r="C77" s="73" t="s">
        <v>93</v>
      </c>
      <c r="D77" s="68"/>
      <c r="E77" s="56"/>
      <c r="F77" s="45"/>
      <c r="G77" s="45"/>
      <c r="H77" s="56"/>
      <c r="I77" s="45"/>
      <c r="J77" s="56"/>
      <c r="K77" s="45"/>
      <c r="L77" s="56"/>
      <c r="M77" s="45"/>
      <c r="N77" s="56"/>
      <c r="O77" s="45"/>
      <c r="P77" s="45"/>
      <c r="Q77" s="45"/>
      <c r="R77" s="45"/>
      <c r="S77" s="56"/>
      <c r="T77" s="45"/>
      <c r="U77" s="45"/>
      <c r="V77" s="74">
        <f>V10+V25+V32+V41+V73+V67+V57+V48+V16</f>
        <v>23768.527349718395</v>
      </c>
    </row>
    <row r="78" spans="1:22" ht="18.75">
      <c r="A78" s="404"/>
      <c r="B78" s="407"/>
      <c r="C78" s="73" t="s">
        <v>94</v>
      </c>
      <c r="D78" s="68"/>
      <c r="E78" s="56"/>
      <c r="F78" s="45"/>
      <c r="G78" s="45"/>
      <c r="H78" s="56"/>
      <c r="I78" s="45"/>
      <c r="J78" s="56"/>
      <c r="K78" s="45"/>
      <c r="L78" s="56"/>
      <c r="M78" s="45"/>
      <c r="N78" s="56"/>
      <c r="O78" s="45"/>
      <c r="P78" s="45"/>
      <c r="Q78" s="45"/>
      <c r="R78" s="45"/>
      <c r="S78" s="56"/>
      <c r="T78" s="45"/>
      <c r="U78" s="45"/>
      <c r="V78" s="74">
        <f>V11+V26+V33+V42+V74+V68+V58+V49+V17</f>
        <v>7225.632314314392</v>
      </c>
    </row>
    <row r="79" spans="1:22" ht="18.75">
      <c r="A79" s="404"/>
      <c r="B79" s="407"/>
      <c r="C79" s="73" t="s">
        <v>107</v>
      </c>
      <c r="D79" s="68"/>
      <c r="E79" s="56"/>
      <c r="F79" s="45"/>
      <c r="G79" s="45"/>
      <c r="H79" s="56"/>
      <c r="I79" s="45"/>
      <c r="J79" s="56"/>
      <c r="K79" s="45"/>
      <c r="L79" s="56"/>
      <c r="M79" s="45"/>
      <c r="N79" s="56"/>
      <c r="O79" s="45"/>
      <c r="P79" s="45"/>
      <c r="Q79" s="45"/>
      <c r="R79" s="45"/>
      <c r="S79" s="56"/>
      <c r="T79" s="45"/>
      <c r="U79" s="45"/>
      <c r="V79" s="74">
        <f>V27+V69+V59</f>
        <v>317.49483483648</v>
      </c>
    </row>
    <row r="80" spans="1:22" ht="18.75">
      <c r="A80" s="404"/>
      <c r="B80" s="407"/>
      <c r="C80" s="73" t="s">
        <v>95</v>
      </c>
      <c r="D80" s="68"/>
      <c r="E80" s="56"/>
      <c r="F80" s="45"/>
      <c r="G80" s="45"/>
      <c r="H80" s="56"/>
      <c r="I80" s="45"/>
      <c r="J80" s="56"/>
      <c r="K80" s="45"/>
      <c r="L80" s="56"/>
      <c r="M80" s="45"/>
      <c r="N80" s="56"/>
      <c r="O80" s="45"/>
      <c r="P80" s="45"/>
      <c r="Q80" s="45"/>
      <c r="R80" s="45"/>
      <c r="S80" s="56"/>
      <c r="T80" s="45"/>
      <c r="U80" s="45"/>
      <c r="V80" s="74">
        <f>V12+V28+V34+V43+V75+V70+V60+V50+V18</f>
        <v>0</v>
      </c>
    </row>
    <row r="81" spans="1:22" ht="18.75">
      <c r="A81" s="405"/>
      <c r="B81" s="408"/>
      <c r="C81" s="73" t="s">
        <v>96</v>
      </c>
      <c r="D81" s="68"/>
      <c r="E81" s="56"/>
      <c r="F81" s="45"/>
      <c r="G81" s="45"/>
      <c r="H81" s="56"/>
      <c r="I81" s="45"/>
      <c r="J81" s="56"/>
      <c r="K81" s="45"/>
      <c r="L81" s="56"/>
      <c r="M81" s="45"/>
      <c r="N81" s="56"/>
      <c r="O81" s="45"/>
      <c r="P81" s="45"/>
      <c r="Q81" s="45"/>
      <c r="R81" s="45"/>
      <c r="S81" s="56"/>
      <c r="T81" s="45"/>
      <c r="U81" s="45"/>
      <c r="V81" s="74">
        <f>V77+V78+V79+V80</f>
        <v>31311.65449886927</v>
      </c>
    </row>
    <row r="82" spans="1:22" ht="60.75">
      <c r="A82" s="76">
        <v>2</v>
      </c>
      <c r="B82" s="75" t="s">
        <v>129</v>
      </c>
      <c r="C82" s="62"/>
      <c r="D82" s="46">
        <v>0</v>
      </c>
      <c r="E82" s="45">
        <v>0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56">
        <v>0</v>
      </c>
      <c r="T82" s="45">
        <v>0</v>
      </c>
      <c r="U82" s="45">
        <v>0</v>
      </c>
      <c r="V82" s="69">
        <v>0</v>
      </c>
    </row>
    <row r="83" spans="1:22" ht="60.75">
      <c r="A83" s="76">
        <v>3</v>
      </c>
      <c r="B83" s="75" t="s">
        <v>130</v>
      </c>
      <c r="C83" s="62"/>
      <c r="D83" s="4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56">
        <v>0</v>
      </c>
      <c r="T83" s="45">
        <v>0</v>
      </c>
      <c r="U83" s="45">
        <v>0</v>
      </c>
      <c r="V83" s="77">
        <v>0</v>
      </c>
    </row>
    <row r="84" spans="1:22" ht="76.5" customHeight="1">
      <c r="A84" s="78">
        <v>4</v>
      </c>
      <c r="B84" s="72" t="s">
        <v>131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80"/>
      <c r="T84" s="79"/>
      <c r="U84" s="79"/>
      <c r="V84" s="81"/>
    </row>
    <row r="85" spans="1:22" ht="18.75">
      <c r="A85" s="403" t="s">
        <v>132</v>
      </c>
      <c r="B85" s="396" t="s">
        <v>133</v>
      </c>
      <c r="C85" s="79" t="s">
        <v>99</v>
      </c>
      <c r="D85" s="55">
        <v>2</v>
      </c>
      <c r="E85" s="77">
        <f>E14</f>
        <v>40193.596000000005</v>
      </c>
      <c r="F85" s="45">
        <f>1973/12</f>
        <v>164.41666666666666</v>
      </c>
      <c r="G85" s="45">
        <f>E85/F85</f>
        <v>244.46181044095292</v>
      </c>
      <c r="H85" s="56">
        <v>0</v>
      </c>
      <c r="I85" s="45">
        <f>G85/100*H85</f>
        <v>0</v>
      </c>
      <c r="J85" s="56">
        <v>50</v>
      </c>
      <c r="K85" s="45">
        <f>(G85+I85)/100*J85</f>
        <v>122.23090522047646</v>
      </c>
      <c r="L85" s="56">
        <v>24</v>
      </c>
      <c r="M85" s="45">
        <f>G85/100*L85</f>
        <v>58.6708345058287</v>
      </c>
      <c r="N85" s="60">
        <v>0</v>
      </c>
      <c r="O85" s="45">
        <f>G85/100*N85</f>
        <v>0</v>
      </c>
      <c r="P85" s="45">
        <f>(G85+I85+K85+M85+O85)*0.15</f>
        <v>63.8045325250887</v>
      </c>
      <c r="Q85" s="45">
        <f>(G85+I85+K85+M85+P85+O85)</f>
        <v>489.16808269234673</v>
      </c>
      <c r="R85" s="45">
        <f>Q85*D85</f>
        <v>978.3361653846935</v>
      </c>
      <c r="S85" s="56">
        <v>30.4</v>
      </c>
      <c r="T85" s="45">
        <f>R85/100*S85</f>
        <v>297.41419427694683</v>
      </c>
      <c r="U85" s="45">
        <f>R85+T85</f>
        <v>1275.7503596616402</v>
      </c>
      <c r="V85" s="69"/>
    </row>
    <row r="86" spans="1:22" ht="37.5">
      <c r="A86" s="404"/>
      <c r="B86" s="397"/>
      <c r="C86" s="82" t="s">
        <v>92</v>
      </c>
      <c r="D86" s="55">
        <v>2</v>
      </c>
      <c r="E86" s="77">
        <f>E9</f>
        <v>30393.622</v>
      </c>
      <c r="F86" s="45">
        <f>1973/12</f>
        <v>164.41666666666666</v>
      </c>
      <c r="G86" s="45">
        <f>E86/F86</f>
        <v>184.85730562595035</v>
      </c>
      <c r="H86" s="56">
        <v>0</v>
      </c>
      <c r="I86" s="45">
        <f>G86/100*H86</f>
        <v>0</v>
      </c>
      <c r="J86" s="56">
        <v>50</v>
      </c>
      <c r="K86" s="45">
        <f>(G86+I86)/100*J86</f>
        <v>92.42865281297517</v>
      </c>
      <c r="L86" s="56">
        <v>26</v>
      </c>
      <c r="M86" s="45">
        <f>G86/100*L86</f>
        <v>48.06289946274709</v>
      </c>
      <c r="N86" s="60">
        <v>0</v>
      </c>
      <c r="O86" s="45">
        <f>G86/100*N86</f>
        <v>0</v>
      </c>
      <c r="P86" s="45">
        <f>(G86+I86+K86+M86+O86)*0.15</f>
        <v>48.80232868525089</v>
      </c>
      <c r="Q86" s="45">
        <f>(G86+I86+K86+M86+P86+O86)</f>
        <v>374.1511865869235</v>
      </c>
      <c r="R86" s="45">
        <f>Q86*D86</f>
        <v>748.302373173847</v>
      </c>
      <c r="S86" s="56">
        <v>30.4</v>
      </c>
      <c r="T86" s="45">
        <f>R86/100*S86</f>
        <v>227.48392144484944</v>
      </c>
      <c r="U86" s="45">
        <f>R86+T86</f>
        <v>975.7862946186964</v>
      </c>
      <c r="V86" s="69"/>
    </row>
    <row r="87" spans="1:22" ht="18.75">
      <c r="A87" s="404"/>
      <c r="B87" s="397"/>
      <c r="C87" s="79" t="s">
        <v>112</v>
      </c>
      <c r="D87" s="55">
        <v>2</v>
      </c>
      <c r="E87" s="77">
        <f>E39</f>
        <v>34946.86</v>
      </c>
      <c r="F87" s="45">
        <f>1973/12</f>
        <v>164.41666666666666</v>
      </c>
      <c r="G87" s="45">
        <f>E87/F87</f>
        <v>212.55059300557528</v>
      </c>
      <c r="H87" s="56">
        <v>0</v>
      </c>
      <c r="I87" s="45">
        <f>G87/100*H87</f>
        <v>0</v>
      </c>
      <c r="J87" s="56">
        <v>50</v>
      </c>
      <c r="K87" s="45">
        <f>(G87+I87)/100*J87</f>
        <v>106.27529650278764</v>
      </c>
      <c r="L87" s="56">
        <v>26</v>
      </c>
      <c r="M87" s="45">
        <f>G87/100*L87</f>
        <v>55.26315418144957</v>
      </c>
      <c r="N87" s="60">
        <v>0</v>
      </c>
      <c r="O87" s="45">
        <f>G87/100*N87</f>
        <v>0</v>
      </c>
      <c r="P87" s="45">
        <f>(G87+I87+K87+M87+O87)*0.15</f>
        <v>56.113356553471874</v>
      </c>
      <c r="Q87" s="45">
        <f>(G87+I87+K87+M87+P87+O87)</f>
        <v>430.2024002432844</v>
      </c>
      <c r="R87" s="45">
        <f>Q87*D87</f>
        <v>860.4048004865688</v>
      </c>
      <c r="S87" s="56">
        <v>30.4</v>
      </c>
      <c r="T87" s="45">
        <f>R87/100*S87</f>
        <v>261.56305934791686</v>
      </c>
      <c r="U87" s="45">
        <f>R87+T87</f>
        <v>1121.9678598344856</v>
      </c>
      <c r="V87" s="69"/>
    </row>
    <row r="88" spans="1:22" ht="19.5">
      <c r="A88" s="404"/>
      <c r="B88" s="397"/>
      <c r="C88" s="71" t="s">
        <v>93</v>
      </c>
      <c r="D88" s="68"/>
      <c r="E88" s="56"/>
      <c r="F88" s="45"/>
      <c r="G88" s="45"/>
      <c r="H88" s="56"/>
      <c r="I88" s="45"/>
      <c r="J88" s="56"/>
      <c r="K88" s="45"/>
      <c r="L88" s="56"/>
      <c r="M88" s="45"/>
      <c r="N88" s="56"/>
      <c r="O88" s="45"/>
      <c r="P88" s="45"/>
      <c r="Q88" s="45"/>
      <c r="R88" s="45"/>
      <c r="S88" s="56"/>
      <c r="T88" s="45"/>
      <c r="U88" s="45"/>
      <c r="V88" s="69">
        <f>SUM(R85:R87)</f>
        <v>2587.043339045109</v>
      </c>
    </row>
    <row r="89" spans="1:22" ht="19.5">
      <c r="A89" s="404"/>
      <c r="B89" s="397"/>
      <c r="C89" s="71" t="s">
        <v>94</v>
      </c>
      <c r="D89" s="68"/>
      <c r="E89" s="56"/>
      <c r="F89" s="45"/>
      <c r="G89" s="45"/>
      <c r="H89" s="56"/>
      <c r="I89" s="45"/>
      <c r="J89" s="56"/>
      <c r="K89" s="45"/>
      <c r="L89" s="56"/>
      <c r="M89" s="45"/>
      <c r="N89" s="56"/>
      <c r="O89" s="45"/>
      <c r="P89" s="45"/>
      <c r="Q89" s="45"/>
      <c r="R89" s="45"/>
      <c r="S89" s="56"/>
      <c r="T89" s="45"/>
      <c r="U89" s="45"/>
      <c r="V89" s="69">
        <f>SUM(T85:T87)</f>
        <v>786.4611750697131</v>
      </c>
    </row>
    <row r="90" spans="1:22" ht="19.5">
      <c r="A90" s="404"/>
      <c r="B90" s="397"/>
      <c r="C90" s="71" t="s">
        <v>95</v>
      </c>
      <c r="D90" s="68"/>
      <c r="E90" s="56"/>
      <c r="F90" s="45"/>
      <c r="G90" s="45"/>
      <c r="H90" s="56"/>
      <c r="I90" s="45"/>
      <c r="J90" s="56"/>
      <c r="K90" s="45"/>
      <c r="L90" s="56"/>
      <c r="M90" s="45"/>
      <c r="N90" s="56"/>
      <c r="O90" s="45"/>
      <c r="P90" s="45"/>
      <c r="Q90" s="45"/>
      <c r="R90" s="45"/>
      <c r="S90" s="56"/>
      <c r="T90" s="45"/>
      <c r="U90" s="45"/>
      <c r="V90" s="67"/>
    </row>
    <row r="91" spans="1:22" ht="19.5">
      <c r="A91" s="405"/>
      <c r="B91" s="398"/>
      <c r="C91" s="71" t="s">
        <v>96</v>
      </c>
      <c r="D91" s="68"/>
      <c r="E91" s="56"/>
      <c r="F91" s="45"/>
      <c r="G91" s="45"/>
      <c r="H91" s="56"/>
      <c r="I91" s="45"/>
      <c r="J91" s="56"/>
      <c r="K91" s="45"/>
      <c r="L91" s="56"/>
      <c r="M91" s="45"/>
      <c r="N91" s="56"/>
      <c r="O91" s="45"/>
      <c r="P91" s="45"/>
      <c r="Q91" s="45"/>
      <c r="R91" s="45"/>
      <c r="S91" s="56"/>
      <c r="T91" s="45"/>
      <c r="U91" s="45"/>
      <c r="V91" s="70">
        <f>SUM(V88:V90)</f>
        <v>3373.504514114822</v>
      </c>
    </row>
    <row r="92" spans="1:22" ht="37.5">
      <c r="A92" s="403" t="s">
        <v>134</v>
      </c>
      <c r="B92" s="396" t="s">
        <v>135</v>
      </c>
      <c r="C92" s="82" t="s">
        <v>136</v>
      </c>
      <c r="D92" s="55">
        <v>2</v>
      </c>
      <c r="E92" s="59">
        <f>21895*1.046</f>
        <v>22902.170000000002</v>
      </c>
      <c r="F92" s="45">
        <f aca="true" t="shared" si="0" ref="F92:F102">1973/12</f>
        <v>164.41666666666666</v>
      </c>
      <c r="G92" s="45">
        <f aca="true" t="shared" si="1" ref="G92:G102">E92/F92</f>
        <v>139.2934820070958</v>
      </c>
      <c r="H92" s="56">
        <v>0</v>
      </c>
      <c r="I92" s="45">
        <f aca="true" t="shared" si="2" ref="I92:I102">G92/100*H92</f>
        <v>0</v>
      </c>
      <c r="J92" s="56">
        <v>50</v>
      </c>
      <c r="K92" s="45">
        <f aca="true" t="shared" si="3" ref="K92:K102">(G92+I92)/100*J92</f>
        <v>69.6467410035479</v>
      </c>
      <c r="L92" s="56">
        <v>26</v>
      </c>
      <c r="M92" s="45">
        <f aca="true" t="shared" si="4" ref="M92:M102">G92/100*L92</f>
        <v>36.216305321844914</v>
      </c>
      <c r="N92" s="60">
        <v>0</v>
      </c>
      <c r="O92" s="45">
        <f aca="true" t="shared" si="5" ref="O92:O102">G92/100*N92</f>
        <v>0</v>
      </c>
      <c r="P92" s="45">
        <f aca="true" t="shared" si="6" ref="P92:P102">(G92+I92+K92+M92+O92)*0.15</f>
        <v>36.77347924987329</v>
      </c>
      <c r="Q92" s="45">
        <f aca="true" t="shared" si="7" ref="Q92:Q102">(G92+I92+K92+M92+P92+O92)</f>
        <v>281.9300075823619</v>
      </c>
      <c r="R92" s="45">
        <f aca="true" t="shared" si="8" ref="R92:R102">Q92*D92</f>
        <v>563.8600151647238</v>
      </c>
      <c r="S92" s="56">
        <v>30.4</v>
      </c>
      <c r="T92" s="45">
        <f aca="true" t="shared" si="9" ref="T92:T102">R92/100*S92</f>
        <v>171.41344461007603</v>
      </c>
      <c r="U92" s="45">
        <f aca="true" t="shared" si="10" ref="U92:U102">R92+T92</f>
        <v>735.2734597747998</v>
      </c>
      <c r="V92" s="69"/>
    </row>
    <row r="93" spans="1:22" ht="18.75">
      <c r="A93" s="404"/>
      <c r="B93" s="397"/>
      <c r="C93" s="82" t="s">
        <v>137</v>
      </c>
      <c r="D93" s="55">
        <v>1</v>
      </c>
      <c r="E93" s="77">
        <f>E92</f>
        <v>22902.170000000002</v>
      </c>
      <c r="F93" s="45">
        <f t="shared" si="0"/>
        <v>164.41666666666666</v>
      </c>
      <c r="G93" s="45">
        <f t="shared" si="1"/>
        <v>139.2934820070958</v>
      </c>
      <c r="H93" s="56">
        <v>0</v>
      </c>
      <c r="I93" s="45">
        <f t="shared" si="2"/>
        <v>0</v>
      </c>
      <c r="J93" s="56">
        <v>50</v>
      </c>
      <c r="K93" s="45">
        <f t="shared" si="3"/>
        <v>69.6467410035479</v>
      </c>
      <c r="L93" s="56">
        <v>26</v>
      </c>
      <c r="M93" s="45">
        <f t="shared" si="4"/>
        <v>36.216305321844914</v>
      </c>
      <c r="N93" s="60">
        <v>0</v>
      </c>
      <c r="O93" s="45">
        <f t="shared" si="5"/>
        <v>0</v>
      </c>
      <c r="P93" s="45">
        <f t="shared" si="6"/>
        <v>36.77347924987329</v>
      </c>
      <c r="Q93" s="45">
        <f t="shared" si="7"/>
        <v>281.9300075823619</v>
      </c>
      <c r="R93" s="45">
        <f t="shared" si="8"/>
        <v>281.9300075823619</v>
      </c>
      <c r="S93" s="56">
        <v>30.4</v>
      </c>
      <c r="T93" s="45">
        <f t="shared" si="9"/>
        <v>85.70672230503801</v>
      </c>
      <c r="U93" s="45">
        <f t="shared" si="10"/>
        <v>367.6367298873999</v>
      </c>
      <c r="V93" s="69"/>
    </row>
    <row r="94" spans="1:22" ht="37.5">
      <c r="A94" s="404"/>
      <c r="B94" s="397"/>
      <c r="C94" s="82" t="s">
        <v>138</v>
      </c>
      <c r="D94" s="55">
        <v>2</v>
      </c>
      <c r="E94" s="59">
        <f>21895*1.046</f>
        <v>22902.170000000002</v>
      </c>
      <c r="F94" s="45">
        <f t="shared" si="0"/>
        <v>164.41666666666666</v>
      </c>
      <c r="G94" s="45">
        <f t="shared" si="1"/>
        <v>139.2934820070958</v>
      </c>
      <c r="H94" s="56">
        <v>0</v>
      </c>
      <c r="I94" s="45">
        <f t="shared" si="2"/>
        <v>0</v>
      </c>
      <c r="J94" s="56">
        <v>50</v>
      </c>
      <c r="K94" s="45">
        <f t="shared" si="3"/>
        <v>69.6467410035479</v>
      </c>
      <c r="L94" s="56">
        <v>26</v>
      </c>
      <c r="M94" s="45">
        <f t="shared" si="4"/>
        <v>36.216305321844914</v>
      </c>
      <c r="N94" s="60">
        <v>0</v>
      </c>
      <c r="O94" s="45">
        <f t="shared" si="5"/>
        <v>0</v>
      </c>
      <c r="P94" s="45">
        <f t="shared" si="6"/>
        <v>36.77347924987329</v>
      </c>
      <c r="Q94" s="45">
        <f t="shared" si="7"/>
        <v>281.9300075823619</v>
      </c>
      <c r="R94" s="45">
        <f t="shared" si="8"/>
        <v>563.8600151647238</v>
      </c>
      <c r="S94" s="56">
        <v>30.4</v>
      </c>
      <c r="T94" s="45">
        <f t="shared" si="9"/>
        <v>171.41344461007603</v>
      </c>
      <c r="U94" s="45">
        <f t="shared" si="10"/>
        <v>735.2734597747998</v>
      </c>
      <c r="V94" s="69"/>
    </row>
    <row r="95" spans="1:22" ht="37.5">
      <c r="A95" s="404"/>
      <c r="B95" s="397"/>
      <c r="C95" s="82" t="s">
        <v>139</v>
      </c>
      <c r="D95" s="55">
        <v>1</v>
      </c>
      <c r="E95" s="77">
        <f>E94</f>
        <v>22902.170000000002</v>
      </c>
      <c r="F95" s="45">
        <f t="shared" si="0"/>
        <v>164.41666666666666</v>
      </c>
      <c r="G95" s="45">
        <f t="shared" si="1"/>
        <v>139.2934820070958</v>
      </c>
      <c r="H95" s="56">
        <v>0</v>
      </c>
      <c r="I95" s="45">
        <f t="shared" si="2"/>
        <v>0</v>
      </c>
      <c r="J95" s="56">
        <v>50</v>
      </c>
      <c r="K95" s="45">
        <f t="shared" si="3"/>
        <v>69.6467410035479</v>
      </c>
      <c r="L95" s="56">
        <v>26</v>
      </c>
      <c r="M95" s="45">
        <f t="shared" si="4"/>
        <v>36.216305321844914</v>
      </c>
      <c r="N95" s="60">
        <v>0</v>
      </c>
      <c r="O95" s="45">
        <f t="shared" si="5"/>
        <v>0</v>
      </c>
      <c r="P95" s="45">
        <f t="shared" si="6"/>
        <v>36.77347924987329</v>
      </c>
      <c r="Q95" s="45">
        <f t="shared" si="7"/>
        <v>281.9300075823619</v>
      </c>
      <c r="R95" s="45">
        <f t="shared" si="8"/>
        <v>281.9300075823619</v>
      </c>
      <c r="S95" s="56">
        <v>30.4</v>
      </c>
      <c r="T95" s="45">
        <f t="shared" si="9"/>
        <v>85.70672230503801</v>
      </c>
      <c r="U95" s="45">
        <f t="shared" si="10"/>
        <v>367.6367298873999</v>
      </c>
      <c r="V95" s="69"/>
    </row>
    <row r="96" spans="1:22" ht="37.5">
      <c r="A96" s="404"/>
      <c r="B96" s="397"/>
      <c r="C96" s="82" t="s">
        <v>140</v>
      </c>
      <c r="D96" s="55">
        <v>2</v>
      </c>
      <c r="E96" s="77">
        <f>E39</f>
        <v>34946.86</v>
      </c>
      <c r="F96" s="45">
        <f t="shared" si="0"/>
        <v>164.41666666666666</v>
      </c>
      <c r="G96" s="45">
        <f t="shared" si="1"/>
        <v>212.55059300557528</v>
      </c>
      <c r="H96" s="56">
        <v>0</v>
      </c>
      <c r="I96" s="45">
        <f t="shared" si="2"/>
        <v>0</v>
      </c>
      <c r="J96" s="56">
        <v>50</v>
      </c>
      <c r="K96" s="45">
        <f>(G96+I96)/100*J96</f>
        <v>106.27529650278764</v>
      </c>
      <c r="L96" s="56">
        <v>26</v>
      </c>
      <c r="M96" s="45">
        <f t="shared" si="4"/>
        <v>55.26315418144957</v>
      </c>
      <c r="N96" s="60">
        <v>0</v>
      </c>
      <c r="O96" s="45">
        <f t="shared" si="5"/>
        <v>0</v>
      </c>
      <c r="P96" s="45">
        <f t="shared" si="6"/>
        <v>56.113356553471874</v>
      </c>
      <c r="Q96" s="45">
        <f t="shared" si="7"/>
        <v>430.2024002432844</v>
      </c>
      <c r="R96" s="45">
        <f t="shared" si="8"/>
        <v>860.4048004865688</v>
      </c>
      <c r="S96" s="56">
        <v>30.4</v>
      </c>
      <c r="T96" s="45">
        <f t="shared" si="9"/>
        <v>261.56305934791686</v>
      </c>
      <c r="U96" s="45">
        <f t="shared" si="10"/>
        <v>1121.9678598344856</v>
      </c>
      <c r="V96" s="69"/>
    </row>
    <row r="97" spans="1:22" ht="37.5">
      <c r="A97" s="404"/>
      <c r="B97" s="397"/>
      <c r="C97" s="82" t="s">
        <v>141</v>
      </c>
      <c r="D97" s="55">
        <v>1</v>
      </c>
      <c r="E97" s="77">
        <f>E39</f>
        <v>34946.86</v>
      </c>
      <c r="F97" s="45">
        <f t="shared" si="0"/>
        <v>164.41666666666666</v>
      </c>
      <c r="G97" s="45">
        <f t="shared" si="1"/>
        <v>212.55059300557528</v>
      </c>
      <c r="H97" s="56">
        <v>0</v>
      </c>
      <c r="I97" s="45">
        <f t="shared" si="2"/>
        <v>0</v>
      </c>
      <c r="J97" s="56">
        <v>50</v>
      </c>
      <c r="K97" s="45">
        <f>(G97+I97)/100*J97</f>
        <v>106.27529650278764</v>
      </c>
      <c r="L97" s="56">
        <v>26</v>
      </c>
      <c r="M97" s="45">
        <f t="shared" si="4"/>
        <v>55.26315418144957</v>
      </c>
      <c r="N97" s="60">
        <v>0</v>
      </c>
      <c r="O97" s="45">
        <f t="shared" si="5"/>
        <v>0</v>
      </c>
      <c r="P97" s="45">
        <f t="shared" si="6"/>
        <v>56.113356553471874</v>
      </c>
      <c r="Q97" s="45">
        <f t="shared" si="7"/>
        <v>430.2024002432844</v>
      </c>
      <c r="R97" s="45">
        <f t="shared" si="8"/>
        <v>430.2024002432844</v>
      </c>
      <c r="S97" s="56">
        <v>30.4</v>
      </c>
      <c r="T97" s="45">
        <f t="shared" si="9"/>
        <v>130.78152967395843</v>
      </c>
      <c r="U97" s="45">
        <f t="shared" si="10"/>
        <v>560.9839299172428</v>
      </c>
      <c r="V97" s="69"/>
    </row>
    <row r="98" spans="1:22" ht="37.5">
      <c r="A98" s="404"/>
      <c r="B98" s="397"/>
      <c r="C98" s="82" t="s">
        <v>142</v>
      </c>
      <c r="D98" s="55">
        <v>2</v>
      </c>
      <c r="E98" s="59">
        <f>29057*1.046</f>
        <v>30393.622</v>
      </c>
      <c r="F98" s="45">
        <f t="shared" si="0"/>
        <v>164.41666666666666</v>
      </c>
      <c r="G98" s="45">
        <f t="shared" si="1"/>
        <v>184.85730562595035</v>
      </c>
      <c r="H98" s="56">
        <v>0</v>
      </c>
      <c r="I98" s="45">
        <f t="shared" si="2"/>
        <v>0</v>
      </c>
      <c r="J98" s="56">
        <v>50</v>
      </c>
      <c r="K98" s="45">
        <f>(G98+I98)/100*J98</f>
        <v>92.42865281297517</v>
      </c>
      <c r="L98" s="56">
        <v>8</v>
      </c>
      <c r="M98" s="45">
        <f t="shared" si="4"/>
        <v>14.788584450076028</v>
      </c>
      <c r="N98" s="60">
        <v>0</v>
      </c>
      <c r="O98" s="45">
        <f t="shared" si="5"/>
        <v>0</v>
      </c>
      <c r="P98" s="45">
        <f t="shared" si="6"/>
        <v>43.81118143335023</v>
      </c>
      <c r="Q98" s="45">
        <f t="shared" si="7"/>
        <v>335.88572432235173</v>
      </c>
      <c r="R98" s="45">
        <f t="shared" si="8"/>
        <v>671.7714486447035</v>
      </c>
      <c r="S98" s="56">
        <v>30.4</v>
      </c>
      <c r="T98" s="45">
        <f t="shared" si="9"/>
        <v>204.21852038798986</v>
      </c>
      <c r="U98" s="45">
        <f t="shared" si="10"/>
        <v>875.9899690326934</v>
      </c>
      <c r="V98" s="69"/>
    </row>
    <row r="99" spans="1:22" ht="37.5">
      <c r="A99" s="404"/>
      <c r="B99" s="397"/>
      <c r="C99" s="82" t="s">
        <v>143</v>
      </c>
      <c r="D99" s="55">
        <v>1</v>
      </c>
      <c r="E99" s="77">
        <f>E98</f>
        <v>30393.622</v>
      </c>
      <c r="F99" s="45">
        <f t="shared" si="0"/>
        <v>164.41666666666666</v>
      </c>
      <c r="G99" s="45">
        <f t="shared" si="1"/>
        <v>184.85730562595035</v>
      </c>
      <c r="H99" s="56">
        <v>0</v>
      </c>
      <c r="I99" s="45">
        <f t="shared" si="2"/>
        <v>0</v>
      </c>
      <c r="J99" s="56">
        <v>50</v>
      </c>
      <c r="K99" s="45">
        <f>(G99+I99)/100*J99</f>
        <v>92.42865281297517</v>
      </c>
      <c r="L99" s="56">
        <v>8</v>
      </c>
      <c r="M99" s="45">
        <f t="shared" si="4"/>
        <v>14.788584450076028</v>
      </c>
      <c r="N99" s="60">
        <v>0</v>
      </c>
      <c r="O99" s="45">
        <f t="shared" si="5"/>
        <v>0</v>
      </c>
      <c r="P99" s="45">
        <f t="shared" si="6"/>
        <v>43.81118143335023</v>
      </c>
      <c r="Q99" s="45">
        <f t="shared" si="7"/>
        <v>335.88572432235173</v>
      </c>
      <c r="R99" s="45">
        <f t="shared" si="8"/>
        <v>335.88572432235173</v>
      </c>
      <c r="S99" s="56">
        <v>30.4</v>
      </c>
      <c r="T99" s="45">
        <f t="shared" si="9"/>
        <v>102.10926019399493</v>
      </c>
      <c r="U99" s="45">
        <f t="shared" si="10"/>
        <v>437.9949845163467</v>
      </c>
      <c r="V99" s="69"/>
    </row>
    <row r="100" spans="1:22" ht="56.25">
      <c r="A100" s="404"/>
      <c r="B100" s="397"/>
      <c r="C100" s="82" t="s">
        <v>144</v>
      </c>
      <c r="D100" s="55">
        <v>2</v>
      </c>
      <c r="E100" s="77">
        <f>E8</f>
        <v>53174.456000000006</v>
      </c>
      <c r="F100" s="45">
        <f t="shared" si="0"/>
        <v>164.41666666666666</v>
      </c>
      <c r="G100" s="45">
        <f t="shared" si="1"/>
        <v>323.4128089204258</v>
      </c>
      <c r="H100" s="56">
        <v>0</v>
      </c>
      <c r="I100" s="45">
        <f t="shared" si="2"/>
        <v>0</v>
      </c>
      <c r="J100" s="56">
        <v>50</v>
      </c>
      <c r="K100" s="45">
        <f t="shared" si="3"/>
        <v>161.7064044602129</v>
      </c>
      <c r="L100" s="56">
        <v>26</v>
      </c>
      <c r="M100" s="45">
        <f t="shared" si="4"/>
        <v>84.08733031931071</v>
      </c>
      <c r="N100" s="60">
        <v>0</v>
      </c>
      <c r="O100" s="45">
        <f t="shared" si="5"/>
        <v>0</v>
      </c>
      <c r="P100" s="45">
        <f t="shared" si="6"/>
        <v>85.3809815549924</v>
      </c>
      <c r="Q100" s="45">
        <f t="shared" si="7"/>
        <v>654.5875252549419</v>
      </c>
      <c r="R100" s="45">
        <f t="shared" si="8"/>
        <v>1309.1750505098837</v>
      </c>
      <c r="S100" s="56">
        <v>30.4</v>
      </c>
      <c r="T100" s="45">
        <f t="shared" si="9"/>
        <v>397.9892153550046</v>
      </c>
      <c r="U100" s="45">
        <f t="shared" si="10"/>
        <v>1707.1642658648884</v>
      </c>
      <c r="V100" s="69"/>
    </row>
    <row r="101" spans="1:22" ht="56.25">
      <c r="A101" s="404"/>
      <c r="B101" s="397"/>
      <c r="C101" s="82" t="s">
        <v>145</v>
      </c>
      <c r="D101" s="55">
        <v>1</v>
      </c>
      <c r="E101" s="77">
        <f>E8</f>
        <v>53174.456000000006</v>
      </c>
      <c r="F101" s="45">
        <f t="shared" si="0"/>
        <v>164.41666666666666</v>
      </c>
      <c r="G101" s="45">
        <f t="shared" si="1"/>
        <v>323.4128089204258</v>
      </c>
      <c r="H101" s="56">
        <v>0</v>
      </c>
      <c r="I101" s="45">
        <f t="shared" si="2"/>
        <v>0</v>
      </c>
      <c r="J101" s="56">
        <v>50</v>
      </c>
      <c r="K101" s="45">
        <f t="shared" si="3"/>
        <v>161.7064044602129</v>
      </c>
      <c r="L101" s="56">
        <v>26</v>
      </c>
      <c r="M101" s="45">
        <f t="shared" si="4"/>
        <v>84.08733031931071</v>
      </c>
      <c r="N101" s="60">
        <v>0</v>
      </c>
      <c r="O101" s="45">
        <f t="shared" si="5"/>
        <v>0</v>
      </c>
      <c r="P101" s="45">
        <f t="shared" si="6"/>
        <v>85.3809815549924</v>
      </c>
      <c r="Q101" s="45">
        <f t="shared" si="7"/>
        <v>654.5875252549419</v>
      </c>
      <c r="R101" s="45">
        <f t="shared" si="8"/>
        <v>654.5875252549419</v>
      </c>
      <c r="S101" s="56">
        <v>30.4</v>
      </c>
      <c r="T101" s="45">
        <f t="shared" si="9"/>
        <v>198.9946076775023</v>
      </c>
      <c r="U101" s="45">
        <f t="shared" si="10"/>
        <v>853.5821329324442</v>
      </c>
      <c r="V101" s="69"/>
    </row>
    <row r="102" spans="1:22" ht="18.75">
      <c r="A102" s="404"/>
      <c r="B102" s="397"/>
      <c r="C102" s="82" t="s">
        <v>106</v>
      </c>
      <c r="D102" s="55">
        <v>3</v>
      </c>
      <c r="E102" s="59">
        <f>16622*1.046</f>
        <v>17386.612</v>
      </c>
      <c r="F102" s="45">
        <f t="shared" si="0"/>
        <v>164.41666666666666</v>
      </c>
      <c r="G102" s="45">
        <f t="shared" si="1"/>
        <v>105.74726001013686</v>
      </c>
      <c r="H102" s="56">
        <v>0</v>
      </c>
      <c r="I102" s="45">
        <f t="shared" si="2"/>
        <v>0</v>
      </c>
      <c r="J102" s="56">
        <v>50</v>
      </c>
      <c r="K102" s="45">
        <f t="shared" si="3"/>
        <v>52.87363000506843</v>
      </c>
      <c r="L102" s="56">
        <v>26</v>
      </c>
      <c r="M102" s="45">
        <f t="shared" si="4"/>
        <v>27.494287602635584</v>
      </c>
      <c r="N102" s="60">
        <v>0</v>
      </c>
      <c r="O102" s="45">
        <f t="shared" si="5"/>
        <v>0</v>
      </c>
      <c r="P102" s="45">
        <f t="shared" si="6"/>
        <v>27.91727664267613</v>
      </c>
      <c r="Q102" s="45">
        <f t="shared" si="7"/>
        <v>214.032454260517</v>
      </c>
      <c r="R102" s="45">
        <f t="shared" si="8"/>
        <v>642.097362781551</v>
      </c>
      <c r="S102" s="56">
        <v>30.4</v>
      </c>
      <c r="T102" s="45">
        <f t="shared" si="9"/>
        <v>195.1975982855915</v>
      </c>
      <c r="U102" s="45">
        <f t="shared" si="10"/>
        <v>837.2949610671426</v>
      </c>
      <c r="V102" s="69"/>
    </row>
    <row r="103" spans="1:22" ht="19.5">
      <c r="A103" s="404"/>
      <c r="B103" s="397"/>
      <c r="C103" s="71" t="s">
        <v>93</v>
      </c>
      <c r="D103" s="68"/>
      <c r="E103" s="56"/>
      <c r="F103" s="45"/>
      <c r="G103" s="45"/>
      <c r="H103" s="56"/>
      <c r="I103" s="45"/>
      <c r="J103" s="56"/>
      <c r="K103" s="45"/>
      <c r="L103" s="56"/>
      <c r="M103" s="45"/>
      <c r="N103" s="56"/>
      <c r="O103" s="45"/>
      <c r="P103" s="45"/>
      <c r="Q103" s="45"/>
      <c r="R103" s="45"/>
      <c r="S103" s="56"/>
      <c r="T103" s="45"/>
      <c r="U103" s="45"/>
      <c r="V103" s="69">
        <f>SUM(R92:R102)</f>
        <v>6595.704357737456</v>
      </c>
    </row>
    <row r="104" spans="1:22" ht="19.5">
      <c r="A104" s="404"/>
      <c r="B104" s="397"/>
      <c r="C104" s="71" t="s">
        <v>94</v>
      </c>
      <c r="D104" s="68"/>
      <c r="E104" s="56"/>
      <c r="F104" s="45"/>
      <c r="G104" s="45"/>
      <c r="H104" s="56"/>
      <c r="I104" s="45"/>
      <c r="J104" s="56"/>
      <c r="K104" s="45"/>
      <c r="L104" s="56"/>
      <c r="M104" s="45"/>
      <c r="N104" s="56"/>
      <c r="O104" s="45"/>
      <c r="P104" s="45"/>
      <c r="Q104" s="45"/>
      <c r="R104" s="45"/>
      <c r="S104" s="56"/>
      <c r="T104" s="45"/>
      <c r="U104" s="45"/>
      <c r="V104" s="69">
        <f>SUM(T92:T102)</f>
        <v>2005.0941247521864</v>
      </c>
    </row>
    <row r="105" spans="1:22" ht="19.5">
      <c r="A105" s="404"/>
      <c r="B105" s="397"/>
      <c r="C105" s="71" t="s">
        <v>107</v>
      </c>
      <c r="D105" s="68"/>
      <c r="E105" s="56"/>
      <c r="F105" s="45"/>
      <c r="G105" s="45"/>
      <c r="H105" s="56"/>
      <c r="I105" s="45"/>
      <c r="J105" s="56"/>
      <c r="K105" s="45"/>
      <c r="L105" s="56"/>
      <c r="M105" s="45"/>
      <c r="N105" s="56"/>
      <c r="O105" s="45"/>
      <c r="P105" s="45"/>
      <c r="Q105" s="45"/>
      <c r="R105" s="45"/>
      <c r="S105" s="56"/>
      <c r="T105" s="45"/>
      <c r="U105" s="45"/>
      <c r="V105" s="67">
        <f>ГСМ!H10</f>
        <v>105.83161161216</v>
      </c>
    </row>
    <row r="106" spans="1:22" ht="19.5">
      <c r="A106" s="404"/>
      <c r="B106" s="397"/>
      <c r="C106" s="71" t="s">
        <v>95</v>
      </c>
      <c r="D106" s="68"/>
      <c r="E106" s="56"/>
      <c r="F106" s="45"/>
      <c r="G106" s="45"/>
      <c r="H106" s="56"/>
      <c r="I106" s="45"/>
      <c r="J106" s="56"/>
      <c r="K106" s="45"/>
      <c r="L106" s="56"/>
      <c r="M106" s="45"/>
      <c r="N106" s="56"/>
      <c r="O106" s="45"/>
      <c r="P106" s="45"/>
      <c r="Q106" s="45"/>
      <c r="R106" s="45"/>
      <c r="S106" s="56"/>
      <c r="T106" s="45"/>
      <c r="U106" s="45"/>
      <c r="V106" s="67"/>
    </row>
    <row r="107" spans="1:22" ht="19.5">
      <c r="A107" s="405"/>
      <c r="B107" s="398"/>
      <c r="C107" s="71" t="s">
        <v>96</v>
      </c>
      <c r="D107" s="68"/>
      <c r="E107" s="56"/>
      <c r="F107" s="45"/>
      <c r="G107" s="45"/>
      <c r="H107" s="56"/>
      <c r="I107" s="45"/>
      <c r="J107" s="56"/>
      <c r="K107" s="45"/>
      <c r="L107" s="56"/>
      <c r="M107" s="45"/>
      <c r="N107" s="56"/>
      <c r="O107" s="45"/>
      <c r="P107" s="45"/>
      <c r="Q107" s="45"/>
      <c r="R107" s="45"/>
      <c r="S107" s="56"/>
      <c r="T107" s="45"/>
      <c r="U107" s="45"/>
      <c r="V107" s="70">
        <f>SUM(V103:V106)</f>
        <v>8706.630094101803</v>
      </c>
    </row>
    <row r="108" spans="1:22" ht="18.75">
      <c r="A108" s="403"/>
      <c r="B108" s="406" t="s">
        <v>146</v>
      </c>
      <c r="C108" s="83" t="s">
        <v>93</v>
      </c>
      <c r="D108" s="68"/>
      <c r="E108" s="56"/>
      <c r="F108" s="45"/>
      <c r="G108" s="45"/>
      <c r="H108" s="56"/>
      <c r="I108" s="45"/>
      <c r="J108" s="56"/>
      <c r="K108" s="45"/>
      <c r="L108" s="56"/>
      <c r="M108" s="45"/>
      <c r="N108" s="56"/>
      <c r="O108" s="45"/>
      <c r="P108" s="45"/>
      <c r="Q108" s="45"/>
      <c r="R108" s="45"/>
      <c r="S108" s="56"/>
      <c r="T108" s="45"/>
      <c r="U108" s="45"/>
      <c r="V108" s="74">
        <f>V103+V88</f>
        <v>9182.747696782564</v>
      </c>
    </row>
    <row r="109" spans="1:22" ht="18.75">
      <c r="A109" s="404"/>
      <c r="B109" s="407"/>
      <c r="C109" s="83" t="s">
        <v>94</v>
      </c>
      <c r="D109" s="68"/>
      <c r="E109" s="56"/>
      <c r="F109" s="45"/>
      <c r="G109" s="45"/>
      <c r="H109" s="56"/>
      <c r="I109" s="45"/>
      <c r="J109" s="56"/>
      <c r="K109" s="45"/>
      <c r="L109" s="56"/>
      <c r="M109" s="45"/>
      <c r="N109" s="56"/>
      <c r="O109" s="45"/>
      <c r="P109" s="45"/>
      <c r="Q109" s="45"/>
      <c r="R109" s="45"/>
      <c r="S109" s="56"/>
      <c r="T109" s="45"/>
      <c r="U109" s="45"/>
      <c r="V109" s="74">
        <f>V104+V89</f>
        <v>2791.5552998218996</v>
      </c>
    </row>
    <row r="110" spans="1:22" ht="18.75">
      <c r="A110" s="404"/>
      <c r="B110" s="407"/>
      <c r="C110" s="83" t="s">
        <v>107</v>
      </c>
      <c r="D110" s="68"/>
      <c r="E110" s="56"/>
      <c r="F110" s="45"/>
      <c r="G110" s="45"/>
      <c r="H110" s="56"/>
      <c r="I110" s="45"/>
      <c r="J110" s="56"/>
      <c r="K110" s="45"/>
      <c r="L110" s="56"/>
      <c r="M110" s="45"/>
      <c r="N110" s="56"/>
      <c r="O110" s="45"/>
      <c r="P110" s="45"/>
      <c r="Q110" s="45"/>
      <c r="R110" s="45"/>
      <c r="S110" s="56"/>
      <c r="T110" s="45"/>
      <c r="U110" s="45"/>
      <c r="V110" s="74">
        <f>V105</f>
        <v>105.83161161216</v>
      </c>
    </row>
    <row r="111" spans="1:22" ht="18.75">
      <c r="A111" s="404"/>
      <c r="B111" s="407"/>
      <c r="C111" s="83" t="s">
        <v>95</v>
      </c>
      <c r="D111" s="68"/>
      <c r="E111" s="56"/>
      <c r="F111" s="45"/>
      <c r="G111" s="45"/>
      <c r="H111" s="56"/>
      <c r="I111" s="45"/>
      <c r="J111" s="56"/>
      <c r="K111" s="45"/>
      <c r="L111" s="56"/>
      <c r="M111" s="45"/>
      <c r="N111" s="56"/>
      <c r="O111" s="45"/>
      <c r="P111" s="45"/>
      <c r="Q111" s="45"/>
      <c r="R111" s="45"/>
      <c r="S111" s="56"/>
      <c r="T111" s="45"/>
      <c r="U111" s="45"/>
      <c r="V111" s="74">
        <f>V106+V90</f>
        <v>0</v>
      </c>
    </row>
    <row r="112" spans="1:22" ht="18.75">
      <c r="A112" s="405"/>
      <c r="B112" s="408"/>
      <c r="C112" s="83" t="s">
        <v>96</v>
      </c>
      <c r="D112" s="68"/>
      <c r="E112" s="56"/>
      <c r="F112" s="45"/>
      <c r="G112" s="45"/>
      <c r="H112" s="56"/>
      <c r="I112" s="45"/>
      <c r="J112" s="56"/>
      <c r="K112" s="45"/>
      <c r="L112" s="56"/>
      <c r="M112" s="45"/>
      <c r="N112" s="56"/>
      <c r="O112" s="45"/>
      <c r="P112" s="45"/>
      <c r="Q112" s="45"/>
      <c r="R112" s="45"/>
      <c r="S112" s="56"/>
      <c r="T112" s="45"/>
      <c r="U112" s="45"/>
      <c r="V112" s="84">
        <f>SUM(V108:V111)</f>
        <v>12080.134608216624</v>
      </c>
    </row>
    <row r="113" spans="1:22" ht="135.75" customHeight="1">
      <c r="A113" s="85">
        <v>5</v>
      </c>
      <c r="B113" s="53" t="s">
        <v>147</v>
      </c>
      <c r="C113" s="79"/>
      <c r="D113" s="68"/>
      <c r="E113" s="56"/>
      <c r="F113" s="45"/>
      <c r="G113" s="45"/>
      <c r="H113" s="56"/>
      <c r="I113" s="45"/>
      <c r="J113" s="56"/>
      <c r="K113" s="45"/>
      <c r="L113" s="56"/>
      <c r="M113" s="45"/>
      <c r="N113" s="56"/>
      <c r="O113" s="45"/>
      <c r="P113" s="45"/>
      <c r="Q113" s="45"/>
      <c r="R113" s="45"/>
      <c r="S113" s="56"/>
      <c r="T113" s="45"/>
      <c r="U113" s="45"/>
      <c r="V113" s="69"/>
    </row>
    <row r="114" spans="1:22" ht="56.25">
      <c r="A114" s="403" t="s">
        <v>148</v>
      </c>
      <c r="B114" s="396" t="s">
        <v>149</v>
      </c>
      <c r="C114" s="82" t="s">
        <v>150</v>
      </c>
      <c r="D114" s="55">
        <v>3</v>
      </c>
      <c r="E114" s="77">
        <f>E8</f>
        <v>53174.456000000006</v>
      </c>
      <c r="F114" s="45">
        <f>1973/12</f>
        <v>164.41666666666666</v>
      </c>
      <c r="G114" s="45">
        <f>E114/F114</f>
        <v>323.4128089204258</v>
      </c>
      <c r="H114" s="56">
        <v>0</v>
      </c>
      <c r="I114" s="45">
        <f>G114/100*H114</f>
        <v>0</v>
      </c>
      <c r="J114" s="56">
        <v>50</v>
      </c>
      <c r="K114" s="45">
        <f>(G114+I114)/100*J114</f>
        <v>161.7064044602129</v>
      </c>
      <c r="L114" s="56">
        <v>26</v>
      </c>
      <c r="M114" s="45">
        <f>G114/100*L114</f>
        <v>84.08733031931071</v>
      </c>
      <c r="N114" s="60">
        <v>0</v>
      </c>
      <c r="O114" s="45">
        <f>G114/100*N114</f>
        <v>0</v>
      </c>
      <c r="P114" s="45">
        <f>(G114+I114+K114+M114+O114)*0.15</f>
        <v>85.3809815549924</v>
      </c>
      <c r="Q114" s="45">
        <f>(G114+I114+K114+M114+P114+O114)</f>
        <v>654.5875252549419</v>
      </c>
      <c r="R114" s="45">
        <f>Q114*D114</f>
        <v>1963.7625757648257</v>
      </c>
      <c r="S114" s="56">
        <v>30.4</v>
      </c>
      <c r="T114" s="45">
        <f>R114/100*S114</f>
        <v>596.983823032507</v>
      </c>
      <c r="U114" s="45">
        <f>R114+T114</f>
        <v>2560.7463987973324</v>
      </c>
      <c r="V114" s="69"/>
    </row>
    <row r="115" spans="1:22" ht="56.25">
      <c r="A115" s="404"/>
      <c r="B115" s="397"/>
      <c r="C115" s="82" t="s">
        <v>145</v>
      </c>
      <c r="D115" s="55">
        <v>1</v>
      </c>
      <c r="E115" s="77">
        <f>E8</f>
        <v>53174.456000000006</v>
      </c>
      <c r="F115" s="45">
        <f>1973/12</f>
        <v>164.41666666666666</v>
      </c>
      <c r="G115" s="45">
        <f>E115/F115</f>
        <v>323.4128089204258</v>
      </c>
      <c r="H115" s="56">
        <v>0</v>
      </c>
      <c r="I115" s="45">
        <f>G115/100*H115</f>
        <v>0</v>
      </c>
      <c r="J115" s="56">
        <v>50</v>
      </c>
      <c r="K115" s="45">
        <f>(G115+I115)/100*J115</f>
        <v>161.7064044602129</v>
      </c>
      <c r="L115" s="56">
        <v>26</v>
      </c>
      <c r="M115" s="45">
        <f>G115/100*L115</f>
        <v>84.08733031931071</v>
      </c>
      <c r="N115" s="60">
        <v>0</v>
      </c>
      <c r="O115" s="45">
        <f>G115/100*N115</f>
        <v>0</v>
      </c>
      <c r="P115" s="45">
        <f>(G115+I115+K115+M115+O115)*0.15</f>
        <v>85.3809815549924</v>
      </c>
      <c r="Q115" s="45">
        <f>(G115+I115+K115+M115+P115+O115)</f>
        <v>654.5875252549419</v>
      </c>
      <c r="R115" s="45">
        <f>Q115*D115</f>
        <v>654.5875252549419</v>
      </c>
      <c r="S115" s="56">
        <v>30.4</v>
      </c>
      <c r="T115" s="45">
        <f>R115/100*S115</f>
        <v>198.9946076775023</v>
      </c>
      <c r="U115" s="45">
        <f>R115+T115</f>
        <v>853.5821329324442</v>
      </c>
      <c r="V115" s="69"/>
    </row>
    <row r="116" spans="1:22" ht="18.75">
      <c r="A116" s="404"/>
      <c r="B116" s="397"/>
      <c r="C116" s="82" t="s">
        <v>106</v>
      </c>
      <c r="D116" s="55">
        <v>4</v>
      </c>
      <c r="E116" s="77">
        <f>E24</f>
        <v>19990.106</v>
      </c>
      <c r="F116" s="45">
        <f>1973/12</f>
        <v>164.41666666666666</v>
      </c>
      <c r="G116" s="45">
        <f>E116/F116</f>
        <v>121.5819929042068</v>
      </c>
      <c r="H116" s="56">
        <v>0</v>
      </c>
      <c r="I116" s="45">
        <f>G116/100*H116</f>
        <v>0</v>
      </c>
      <c r="J116" s="56">
        <v>50</v>
      </c>
      <c r="K116" s="45">
        <f>(G116+I116)/100*J116</f>
        <v>60.7909964521034</v>
      </c>
      <c r="L116" s="56">
        <v>26</v>
      </c>
      <c r="M116" s="45">
        <f>G116/100*L116</f>
        <v>31.611318155093766</v>
      </c>
      <c r="N116" s="60">
        <v>0</v>
      </c>
      <c r="O116" s="45">
        <f>G116/100*N116</f>
        <v>0</v>
      </c>
      <c r="P116" s="45">
        <f>(G116+I116+K116+M116+O116)*0.15</f>
        <v>32.09764612671059</v>
      </c>
      <c r="Q116" s="45">
        <f>(G116+I116+K116+M116+P116+O116)</f>
        <v>246.08195363811456</v>
      </c>
      <c r="R116" s="45">
        <f>Q116*D116</f>
        <v>984.3278145524582</v>
      </c>
      <c r="S116" s="56">
        <v>30.4</v>
      </c>
      <c r="T116" s="45">
        <f>R116/100*S116</f>
        <v>299.2356556239473</v>
      </c>
      <c r="U116" s="45">
        <f>R116+T116</f>
        <v>1283.5634701764056</v>
      </c>
      <c r="V116" s="69"/>
    </row>
    <row r="117" spans="1:22" ht="19.5">
      <c r="A117" s="404"/>
      <c r="B117" s="397"/>
      <c r="C117" s="71" t="s">
        <v>93</v>
      </c>
      <c r="D117" s="68"/>
      <c r="E117" s="56"/>
      <c r="F117" s="45"/>
      <c r="G117" s="45"/>
      <c r="H117" s="56"/>
      <c r="I117" s="45"/>
      <c r="J117" s="56"/>
      <c r="K117" s="45"/>
      <c r="L117" s="56"/>
      <c r="M117" s="45"/>
      <c r="N117" s="56"/>
      <c r="O117" s="45"/>
      <c r="P117" s="45"/>
      <c r="Q117" s="45"/>
      <c r="R117" s="45"/>
      <c r="S117" s="56"/>
      <c r="T117" s="45"/>
      <c r="U117" s="45"/>
      <c r="V117" s="69">
        <f>SUM(R114:R116)</f>
        <v>3602.6779155722256</v>
      </c>
    </row>
    <row r="118" spans="1:22" ht="19.5">
      <c r="A118" s="404"/>
      <c r="B118" s="397"/>
      <c r="C118" s="71" t="s">
        <v>94</v>
      </c>
      <c r="D118" s="68"/>
      <c r="E118" s="56"/>
      <c r="F118" s="45"/>
      <c r="G118" s="45"/>
      <c r="H118" s="56"/>
      <c r="I118" s="45"/>
      <c r="J118" s="56"/>
      <c r="K118" s="45"/>
      <c r="L118" s="56"/>
      <c r="M118" s="45"/>
      <c r="N118" s="56"/>
      <c r="O118" s="45"/>
      <c r="P118" s="45"/>
      <c r="Q118" s="45"/>
      <c r="R118" s="45"/>
      <c r="S118" s="56"/>
      <c r="T118" s="45"/>
      <c r="U118" s="45"/>
      <c r="V118" s="69">
        <f>SUM(T114:T116)</f>
        <v>1095.2140863339564</v>
      </c>
    </row>
    <row r="119" spans="1:22" ht="19.5">
      <c r="A119" s="404"/>
      <c r="B119" s="397"/>
      <c r="C119" s="71" t="s">
        <v>107</v>
      </c>
      <c r="D119" s="68"/>
      <c r="E119" s="56"/>
      <c r="F119" s="45"/>
      <c r="G119" s="45"/>
      <c r="H119" s="56"/>
      <c r="I119" s="45"/>
      <c r="J119" s="56"/>
      <c r="K119" s="45"/>
      <c r="L119" s="56"/>
      <c r="M119" s="45"/>
      <c r="N119" s="56"/>
      <c r="O119" s="45"/>
      <c r="P119" s="45"/>
      <c r="Q119" s="45"/>
      <c r="R119" s="45"/>
      <c r="S119" s="56"/>
      <c r="T119" s="45"/>
      <c r="U119" s="45"/>
      <c r="V119" s="67">
        <f>ГСМ!H10</f>
        <v>105.83161161216</v>
      </c>
    </row>
    <row r="120" spans="1:22" ht="19.5">
      <c r="A120" s="404"/>
      <c r="B120" s="397"/>
      <c r="C120" s="71" t="s">
        <v>95</v>
      </c>
      <c r="D120" s="68"/>
      <c r="E120" s="56"/>
      <c r="F120" s="45"/>
      <c r="G120" s="45"/>
      <c r="H120" s="56"/>
      <c r="I120" s="45"/>
      <c r="J120" s="56"/>
      <c r="K120" s="45"/>
      <c r="L120" s="56"/>
      <c r="M120" s="45"/>
      <c r="N120" s="56"/>
      <c r="O120" s="45"/>
      <c r="P120" s="45"/>
      <c r="Q120" s="45"/>
      <c r="R120" s="45"/>
      <c r="S120" s="56"/>
      <c r="T120" s="45"/>
      <c r="U120" s="45"/>
      <c r="V120" s="67"/>
    </row>
    <row r="121" spans="1:22" ht="19.5">
      <c r="A121" s="405"/>
      <c r="B121" s="398"/>
      <c r="C121" s="71" t="s">
        <v>96</v>
      </c>
      <c r="D121" s="68"/>
      <c r="E121" s="56"/>
      <c r="F121" s="45"/>
      <c r="G121" s="45"/>
      <c r="H121" s="56"/>
      <c r="I121" s="45"/>
      <c r="J121" s="56"/>
      <c r="K121" s="45"/>
      <c r="L121" s="56"/>
      <c r="M121" s="45"/>
      <c r="N121" s="56"/>
      <c r="O121" s="45"/>
      <c r="P121" s="45"/>
      <c r="Q121" s="45"/>
      <c r="R121" s="45"/>
      <c r="S121" s="56"/>
      <c r="T121" s="45"/>
      <c r="U121" s="45"/>
      <c r="V121" s="69">
        <f>SUM(V117:V120)</f>
        <v>4803.723613518342</v>
      </c>
    </row>
    <row r="122" spans="1:22" ht="18.75">
      <c r="A122" s="403"/>
      <c r="B122" s="406" t="s">
        <v>151</v>
      </c>
      <c r="C122" s="83" t="s">
        <v>93</v>
      </c>
      <c r="D122" s="68"/>
      <c r="E122" s="56"/>
      <c r="F122" s="45"/>
      <c r="G122" s="45"/>
      <c r="H122" s="56"/>
      <c r="I122" s="45"/>
      <c r="J122" s="56"/>
      <c r="K122" s="45"/>
      <c r="L122" s="56"/>
      <c r="M122" s="45"/>
      <c r="N122" s="56"/>
      <c r="O122" s="45"/>
      <c r="P122" s="45"/>
      <c r="Q122" s="45"/>
      <c r="R122" s="45"/>
      <c r="S122" s="56"/>
      <c r="T122" s="45"/>
      <c r="U122" s="45"/>
      <c r="V122" s="74">
        <f>V117</f>
        <v>3602.6779155722256</v>
      </c>
    </row>
    <row r="123" spans="1:22" ht="18.75">
      <c r="A123" s="404"/>
      <c r="B123" s="407"/>
      <c r="C123" s="83" t="s">
        <v>94</v>
      </c>
      <c r="D123" s="68"/>
      <c r="E123" s="56"/>
      <c r="F123" s="45"/>
      <c r="G123" s="45"/>
      <c r="H123" s="56"/>
      <c r="I123" s="45"/>
      <c r="J123" s="56"/>
      <c r="K123" s="45"/>
      <c r="L123" s="56"/>
      <c r="M123" s="45"/>
      <c r="N123" s="56"/>
      <c r="O123" s="45"/>
      <c r="P123" s="45"/>
      <c r="Q123" s="45"/>
      <c r="R123" s="45"/>
      <c r="S123" s="56"/>
      <c r="T123" s="45"/>
      <c r="U123" s="45"/>
      <c r="V123" s="74">
        <f>V118</f>
        <v>1095.2140863339564</v>
      </c>
    </row>
    <row r="124" spans="1:22" ht="18.75">
      <c r="A124" s="404"/>
      <c r="B124" s="407"/>
      <c r="C124" s="83" t="s">
        <v>107</v>
      </c>
      <c r="D124" s="68"/>
      <c r="E124" s="56"/>
      <c r="F124" s="45"/>
      <c r="G124" s="45"/>
      <c r="H124" s="56"/>
      <c r="I124" s="45"/>
      <c r="J124" s="56"/>
      <c r="K124" s="45"/>
      <c r="L124" s="56"/>
      <c r="M124" s="45"/>
      <c r="N124" s="56"/>
      <c r="O124" s="45"/>
      <c r="P124" s="45"/>
      <c r="Q124" s="45"/>
      <c r="R124" s="45"/>
      <c r="S124" s="56"/>
      <c r="T124" s="45"/>
      <c r="U124" s="45"/>
      <c r="V124" s="74">
        <f>V119</f>
        <v>105.83161161216</v>
      </c>
    </row>
    <row r="125" spans="1:22" ht="18.75">
      <c r="A125" s="404"/>
      <c r="B125" s="407"/>
      <c r="C125" s="83" t="s">
        <v>95</v>
      </c>
      <c r="D125" s="68"/>
      <c r="E125" s="56"/>
      <c r="F125" s="45"/>
      <c r="G125" s="45"/>
      <c r="H125" s="56"/>
      <c r="I125" s="45"/>
      <c r="J125" s="56"/>
      <c r="K125" s="45"/>
      <c r="L125" s="56"/>
      <c r="M125" s="45"/>
      <c r="N125" s="56"/>
      <c r="O125" s="45"/>
      <c r="P125" s="45"/>
      <c r="Q125" s="45"/>
      <c r="R125" s="45"/>
      <c r="S125" s="56"/>
      <c r="T125" s="45"/>
      <c r="U125" s="45"/>
      <c r="V125" s="74">
        <f>V120</f>
        <v>0</v>
      </c>
    </row>
    <row r="126" spans="1:22" ht="18.75">
      <c r="A126" s="405"/>
      <c r="B126" s="408"/>
      <c r="C126" s="83" t="s">
        <v>96</v>
      </c>
      <c r="D126" s="68"/>
      <c r="E126" s="56"/>
      <c r="F126" s="45"/>
      <c r="G126" s="45"/>
      <c r="H126" s="56"/>
      <c r="I126" s="45"/>
      <c r="J126" s="56"/>
      <c r="K126" s="45"/>
      <c r="L126" s="56"/>
      <c r="M126" s="45"/>
      <c r="N126" s="56"/>
      <c r="O126" s="45"/>
      <c r="P126" s="45"/>
      <c r="Q126" s="45"/>
      <c r="R126" s="45"/>
      <c r="S126" s="56"/>
      <c r="T126" s="45"/>
      <c r="U126" s="45"/>
      <c r="V126" s="74">
        <f>SUM(V122:V125)</f>
        <v>4803.723613518342</v>
      </c>
    </row>
    <row r="127" spans="1:22" ht="81">
      <c r="A127" s="86" t="s">
        <v>152</v>
      </c>
      <c r="B127" s="53" t="s">
        <v>153</v>
      </c>
      <c r="C127" s="79"/>
      <c r="D127" s="68"/>
      <c r="E127" s="56"/>
      <c r="F127" s="45"/>
      <c r="G127" s="45"/>
      <c r="H127" s="56"/>
      <c r="I127" s="45"/>
      <c r="J127" s="56"/>
      <c r="K127" s="45"/>
      <c r="L127" s="56"/>
      <c r="M127" s="45"/>
      <c r="N127" s="56"/>
      <c r="O127" s="45"/>
      <c r="P127" s="45"/>
      <c r="Q127" s="45"/>
      <c r="R127" s="45"/>
      <c r="S127" s="56"/>
      <c r="T127" s="45"/>
      <c r="U127" s="45"/>
      <c r="V127" s="69"/>
    </row>
    <row r="128" spans="1:22" ht="37.5">
      <c r="A128" s="409" t="s">
        <v>154</v>
      </c>
      <c r="B128" s="410" t="s">
        <v>155</v>
      </c>
      <c r="C128" s="82" t="s">
        <v>136</v>
      </c>
      <c r="D128" s="55">
        <v>3</v>
      </c>
      <c r="E128" s="77">
        <f>E92</f>
        <v>22902.170000000002</v>
      </c>
      <c r="F128" s="45">
        <f>1973/12</f>
        <v>164.41666666666666</v>
      </c>
      <c r="G128" s="45">
        <f>E128/F128</f>
        <v>139.2934820070958</v>
      </c>
      <c r="H128" s="56">
        <v>0</v>
      </c>
      <c r="I128" s="45">
        <f>G128/100*H128</f>
        <v>0</v>
      </c>
      <c r="J128" s="56">
        <v>50</v>
      </c>
      <c r="K128" s="45">
        <f>(G128+I128)/100*J128</f>
        <v>69.6467410035479</v>
      </c>
      <c r="L128" s="56">
        <v>26</v>
      </c>
      <c r="M128" s="45">
        <f>G128/100*L128</f>
        <v>36.216305321844914</v>
      </c>
      <c r="N128" s="60">
        <v>0</v>
      </c>
      <c r="O128" s="45">
        <f>G128/100*N128</f>
        <v>0</v>
      </c>
      <c r="P128" s="45">
        <f>(G128+I128+K128+M128+O128)*0.15</f>
        <v>36.77347924987329</v>
      </c>
      <c r="Q128" s="45">
        <f>(G128+I128+K128+M128+P128+O128)</f>
        <v>281.9300075823619</v>
      </c>
      <c r="R128" s="45">
        <f>Q128*D128</f>
        <v>845.7900227470857</v>
      </c>
      <c r="S128" s="56">
        <v>30.4</v>
      </c>
      <c r="T128" s="45">
        <f>R128/100*S128</f>
        <v>257.12016691511405</v>
      </c>
      <c r="U128" s="45">
        <f>R128+T128</f>
        <v>1102.9101896621996</v>
      </c>
      <c r="V128" s="69"/>
    </row>
    <row r="129" spans="1:22" ht="18.75">
      <c r="A129" s="409"/>
      <c r="B129" s="410"/>
      <c r="C129" s="82" t="s">
        <v>156</v>
      </c>
      <c r="D129" s="55">
        <v>1</v>
      </c>
      <c r="E129" s="77">
        <f>E92</f>
        <v>22902.170000000002</v>
      </c>
      <c r="F129" s="45">
        <f>1973/12</f>
        <v>164.41666666666666</v>
      </c>
      <c r="G129" s="45">
        <f>E129/F129</f>
        <v>139.2934820070958</v>
      </c>
      <c r="H129" s="56">
        <v>0</v>
      </c>
      <c r="I129" s="45">
        <f>G129/100*H129</f>
        <v>0</v>
      </c>
      <c r="J129" s="56">
        <v>50</v>
      </c>
      <c r="K129" s="45">
        <f>(G129+I129)/100*J129</f>
        <v>69.6467410035479</v>
      </c>
      <c r="L129" s="56">
        <v>26</v>
      </c>
      <c r="M129" s="45">
        <f>G129/100*L129</f>
        <v>36.216305321844914</v>
      </c>
      <c r="N129" s="60">
        <v>0</v>
      </c>
      <c r="O129" s="45">
        <f>G129/100*N129</f>
        <v>0</v>
      </c>
      <c r="P129" s="45">
        <f>(G129+I129+K129+M129+O129)*0.15</f>
        <v>36.77347924987329</v>
      </c>
      <c r="Q129" s="45">
        <f>(G129+I129+K129+M129+P129+O129)</f>
        <v>281.9300075823619</v>
      </c>
      <c r="R129" s="45">
        <f>Q129*D129</f>
        <v>281.9300075823619</v>
      </c>
      <c r="S129" s="56">
        <v>30.4</v>
      </c>
      <c r="T129" s="45">
        <f>R129/100*S129</f>
        <v>85.70672230503801</v>
      </c>
      <c r="U129" s="45">
        <f>R129+T129</f>
        <v>367.6367298873999</v>
      </c>
      <c r="V129" s="69"/>
    </row>
    <row r="130" spans="1:22" ht="56.25">
      <c r="A130" s="409"/>
      <c r="B130" s="410"/>
      <c r="C130" s="82" t="s">
        <v>157</v>
      </c>
      <c r="D130" s="55">
        <v>6</v>
      </c>
      <c r="E130" s="59">
        <f>16622*1.046</f>
        <v>17386.612</v>
      </c>
      <c r="F130" s="45">
        <f>1973/12</f>
        <v>164.41666666666666</v>
      </c>
      <c r="G130" s="45">
        <f>E130/F130</f>
        <v>105.74726001013686</v>
      </c>
      <c r="H130" s="56">
        <v>0</v>
      </c>
      <c r="I130" s="45">
        <f>G130/100*H130</f>
        <v>0</v>
      </c>
      <c r="J130" s="56">
        <v>50</v>
      </c>
      <c r="K130" s="45">
        <f>(G130+I130)/100*J130</f>
        <v>52.87363000506843</v>
      </c>
      <c r="L130" s="56">
        <v>26</v>
      </c>
      <c r="M130" s="45">
        <f>G130/100*L130</f>
        <v>27.494287602635584</v>
      </c>
      <c r="N130" s="60">
        <v>0</v>
      </c>
      <c r="O130" s="45">
        <f>G130/100*N130</f>
        <v>0</v>
      </c>
      <c r="P130" s="45">
        <f>(G130+I130+K130+M130+O130)*0.15</f>
        <v>27.91727664267613</v>
      </c>
      <c r="Q130" s="45">
        <f>(G130+I130+K130+M130+P130+O130)</f>
        <v>214.032454260517</v>
      </c>
      <c r="R130" s="45">
        <f>Q130*D130</f>
        <v>1284.194725563102</v>
      </c>
      <c r="S130" s="56">
        <v>30.4</v>
      </c>
      <c r="T130" s="45">
        <f>R130/100*S130</f>
        <v>390.395196571183</v>
      </c>
      <c r="U130" s="45">
        <f>R130+T130</f>
        <v>1674.5899221342852</v>
      </c>
      <c r="V130" s="69"/>
    </row>
    <row r="131" spans="1:22" ht="56.25">
      <c r="A131" s="409"/>
      <c r="B131" s="410"/>
      <c r="C131" s="82" t="s">
        <v>158</v>
      </c>
      <c r="D131" s="55">
        <v>2</v>
      </c>
      <c r="E131" s="77">
        <f>E130</f>
        <v>17386.612</v>
      </c>
      <c r="F131" s="45">
        <f>1973/12</f>
        <v>164.41666666666666</v>
      </c>
      <c r="G131" s="45">
        <f>E131/F131</f>
        <v>105.74726001013686</v>
      </c>
      <c r="H131" s="56">
        <v>0</v>
      </c>
      <c r="I131" s="45">
        <f>G131/100*H131</f>
        <v>0</v>
      </c>
      <c r="J131" s="56">
        <v>50</v>
      </c>
      <c r="K131" s="45">
        <f>(G131+I131)/100*J131</f>
        <v>52.87363000506843</v>
      </c>
      <c r="L131" s="56">
        <v>26</v>
      </c>
      <c r="M131" s="45">
        <f>G131/100*L131</f>
        <v>27.494287602635584</v>
      </c>
      <c r="N131" s="60">
        <v>0</v>
      </c>
      <c r="O131" s="45">
        <f>G131/100*N131</f>
        <v>0</v>
      </c>
      <c r="P131" s="45">
        <f>(G131+I131+K131+M131+O131)*0.15</f>
        <v>27.91727664267613</v>
      </c>
      <c r="Q131" s="45">
        <f>(G131+I131+K131+M131+P131+O131)</f>
        <v>214.032454260517</v>
      </c>
      <c r="R131" s="45">
        <f>Q131*D131</f>
        <v>428.064908521034</v>
      </c>
      <c r="S131" s="56">
        <v>30.4</v>
      </c>
      <c r="T131" s="45">
        <f>R131/100*S131</f>
        <v>130.13173219039433</v>
      </c>
      <c r="U131" s="45">
        <f>R131+T131</f>
        <v>558.1966407114284</v>
      </c>
      <c r="V131" s="69"/>
    </row>
    <row r="132" spans="1:22" ht="18.75">
      <c r="A132" s="409"/>
      <c r="B132" s="410"/>
      <c r="C132" s="82" t="s">
        <v>106</v>
      </c>
      <c r="D132" s="55">
        <v>4</v>
      </c>
      <c r="E132" s="77">
        <f>E102</f>
        <v>17386.612</v>
      </c>
      <c r="F132" s="45">
        <f>1973/12</f>
        <v>164.41666666666666</v>
      </c>
      <c r="G132" s="45">
        <f>E132/F132</f>
        <v>105.74726001013686</v>
      </c>
      <c r="H132" s="56">
        <v>0</v>
      </c>
      <c r="I132" s="45">
        <f>G132/100*H132</f>
        <v>0</v>
      </c>
      <c r="J132" s="56">
        <v>50</v>
      </c>
      <c r="K132" s="45">
        <f>(G132+I132)/100*J132</f>
        <v>52.87363000506843</v>
      </c>
      <c r="L132" s="56">
        <v>26</v>
      </c>
      <c r="M132" s="45">
        <f>G132/100*L132</f>
        <v>27.494287602635584</v>
      </c>
      <c r="N132" s="60">
        <v>0</v>
      </c>
      <c r="O132" s="45">
        <f>G132/100*N132</f>
        <v>0</v>
      </c>
      <c r="P132" s="45">
        <f>(G132+I132+K132+M132+O132)*0.15</f>
        <v>27.91727664267613</v>
      </c>
      <c r="Q132" s="45">
        <f>(G132+I132+K132+M132+P132+O132)</f>
        <v>214.032454260517</v>
      </c>
      <c r="R132" s="45">
        <f>Q132*D132</f>
        <v>856.129817042068</v>
      </c>
      <c r="S132" s="56">
        <v>30.4</v>
      </c>
      <c r="T132" s="45">
        <f>R132/100*S132</f>
        <v>260.26346438078866</v>
      </c>
      <c r="U132" s="45">
        <f>R132+T132</f>
        <v>1116.3932814228567</v>
      </c>
      <c r="V132" s="69"/>
    </row>
    <row r="133" spans="1:22" ht="19.5">
      <c r="A133" s="409"/>
      <c r="B133" s="410"/>
      <c r="C133" s="71" t="s">
        <v>93</v>
      </c>
      <c r="D133" s="55"/>
      <c r="E133" s="56"/>
      <c r="F133" s="45"/>
      <c r="G133" s="45"/>
      <c r="H133" s="56"/>
      <c r="I133" s="45"/>
      <c r="J133" s="56"/>
      <c r="K133" s="45"/>
      <c r="L133" s="56"/>
      <c r="M133" s="45"/>
      <c r="N133" s="56"/>
      <c r="O133" s="45"/>
      <c r="P133" s="45"/>
      <c r="Q133" s="45"/>
      <c r="R133" s="45"/>
      <c r="S133" s="56"/>
      <c r="T133" s="45"/>
      <c r="U133" s="45"/>
      <c r="V133" s="69">
        <f>SUM(R128:R132)</f>
        <v>3696.109481455652</v>
      </c>
    </row>
    <row r="134" spans="1:22" ht="19.5">
      <c r="A134" s="409"/>
      <c r="B134" s="410"/>
      <c r="C134" s="71" t="s">
        <v>94</v>
      </c>
      <c r="D134" s="55"/>
      <c r="E134" s="56"/>
      <c r="F134" s="45"/>
      <c r="G134" s="45"/>
      <c r="H134" s="56"/>
      <c r="I134" s="45"/>
      <c r="J134" s="56"/>
      <c r="K134" s="45"/>
      <c r="L134" s="56"/>
      <c r="M134" s="45"/>
      <c r="N134" s="56"/>
      <c r="O134" s="45"/>
      <c r="P134" s="45"/>
      <c r="Q134" s="45"/>
      <c r="R134" s="45"/>
      <c r="S134" s="56"/>
      <c r="T134" s="45"/>
      <c r="U134" s="45"/>
      <c r="V134" s="69">
        <f>SUM(T128:T132)</f>
        <v>1123.6172823625182</v>
      </c>
    </row>
    <row r="135" spans="1:22" ht="19.5">
      <c r="A135" s="409"/>
      <c r="B135" s="410"/>
      <c r="C135" s="71" t="s">
        <v>107</v>
      </c>
      <c r="D135" s="55"/>
      <c r="E135" s="56"/>
      <c r="F135" s="45"/>
      <c r="G135" s="45"/>
      <c r="H135" s="56"/>
      <c r="I135" s="45"/>
      <c r="J135" s="56"/>
      <c r="K135" s="45"/>
      <c r="L135" s="56"/>
      <c r="M135" s="45"/>
      <c r="N135" s="56"/>
      <c r="O135" s="45"/>
      <c r="P135" s="45"/>
      <c r="Q135" s="45"/>
      <c r="R135" s="45"/>
      <c r="S135" s="56"/>
      <c r="T135" s="45"/>
      <c r="U135" s="45"/>
      <c r="V135" s="67"/>
    </row>
    <row r="136" spans="1:22" ht="19.5">
      <c r="A136" s="409"/>
      <c r="B136" s="410"/>
      <c r="C136" s="71" t="s">
        <v>95</v>
      </c>
      <c r="D136" s="55"/>
      <c r="E136" s="56"/>
      <c r="F136" s="45"/>
      <c r="G136" s="45"/>
      <c r="H136" s="56"/>
      <c r="I136" s="45"/>
      <c r="J136" s="56"/>
      <c r="K136" s="45"/>
      <c r="L136" s="56"/>
      <c r="M136" s="45"/>
      <c r="N136" s="56"/>
      <c r="O136" s="45"/>
      <c r="P136" s="45"/>
      <c r="Q136" s="45"/>
      <c r="R136" s="45"/>
      <c r="S136" s="56"/>
      <c r="T136" s="45"/>
      <c r="U136" s="45"/>
      <c r="V136" s="67"/>
    </row>
    <row r="137" spans="1:22" ht="19.5">
      <c r="A137" s="409"/>
      <c r="B137" s="410"/>
      <c r="C137" s="71" t="s">
        <v>96</v>
      </c>
      <c r="D137" s="55"/>
      <c r="E137" s="56"/>
      <c r="F137" s="45"/>
      <c r="G137" s="45"/>
      <c r="H137" s="56"/>
      <c r="I137" s="45"/>
      <c r="J137" s="56"/>
      <c r="K137" s="45"/>
      <c r="L137" s="56"/>
      <c r="M137" s="45"/>
      <c r="N137" s="56"/>
      <c r="O137" s="45"/>
      <c r="P137" s="45"/>
      <c r="Q137" s="45"/>
      <c r="R137" s="45"/>
      <c r="S137" s="56"/>
      <c r="T137" s="45"/>
      <c r="U137" s="45"/>
      <c r="V137" s="70">
        <f>SUM(V133:V136)</f>
        <v>4819.72676381817</v>
      </c>
    </row>
    <row r="138" spans="1:22" ht="37.5">
      <c r="A138" s="409" t="s">
        <v>159</v>
      </c>
      <c r="B138" s="411" t="s">
        <v>160</v>
      </c>
      <c r="C138" s="82" t="s">
        <v>92</v>
      </c>
      <c r="D138" s="55">
        <v>2</v>
      </c>
      <c r="E138" s="77">
        <f>E9</f>
        <v>30393.622</v>
      </c>
      <c r="F138" s="45">
        <f>1973/12</f>
        <v>164.41666666666666</v>
      </c>
      <c r="G138" s="45">
        <f>E138/F138</f>
        <v>184.85730562595035</v>
      </c>
      <c r="H138" s="56">
        <v>0</v>
      </c>
      <c r="I138" s="45">
        <f>G138/100*H138</f>
        <v>0</v>
      </c>
      <c r="J138" s="56">
        <v>50</v>
      </c>
      <c r="K138" s="45">
        <f>(G138+I138)/100*J138</f>
        <v>92.42865281297517</v>
      </c>
      <c r="L138" s="56">
        <v>26</v>
      </c>
      <c r="M138" s="45">
        <f>G138/100*L138</f>
        <v>48.06289946274709</v>
      </c>
      <c r="N138" s="60">
        <v>0</v>
      </c>
      <c r="O138" s="45">
        <f>G138/100*N138</f>
        <v>0</v>
      </c>
      <c r="P138" s="45">
        <f>(G138+I138+K138+M138+O138)*0.15</f>
        <v>48.80232868525089</v>
      </c>
      <c r="Q138" s="45">
        <f>(G138+I138+K138+M138+P138+O138)</f>
        <v>374.1511865869235</v>
      </c>
      <c r="R138" s="45">
        <f>Q138*D138</f>
        <v>748.302373173847</v>
      </c>
      <c r="S138" s="56">
        <v>30.4</v>
      </c>
      <c r="T138" s="45">
        <f>R138/100*S138</f>
        <v>227.48392144484944</v>
      </c>
      <c r="U138" s="45">
        <f>R138+T138</f>
        <v>975.7862946186964</v>
      </c>
      <c r="V138" s="69"/>
    </row>
    <row r="139" spans="1:22" ht="37.5">
      <c r="A139" s="409"/>
      <c r="B139" s="411"/>
      <c r="C139" s="54" t="s">
        <v>90</v>
      </c>
      <c r="D139" s="55">
        <v>0.15</v>
      </c>
      <c r="E139" s="77">
        <f>E7</f>
        <v>61119.872</v>
      </c>
      <c r="F139" s="45">
        <f>1973/12</f>
        <v>164.41666666666666</v>
      </c>
      <c r="G139" s="45">
        <f>E139/F139</f>
        <v>371.7376908261531</v>
      </c>
      <c r="H139" s="56">
        <v>0</v>
      </c>
      <c r="I139" s="45">
        <f>G139/100*H139</f>
        <v>0</v>
      </c>
      <c r="J139" s="56">
        <v>50</v>
      </c>
      <c r="K139" s="45">
        <f>(G139+I139)/100*J139</f>
        <v>185.86884541307654</v>
      </c>
      <c r="L139" s="56">
        <v>26</v>
      </c>
      <c r="M139" s="45">
        <f>G139/100*L139</f>
        <v>96.6517996147998</v>
      </c>
      <c r="N139" s="60">
        <v>0</v>
      </c>
      <c r="O139" s="45">
        <f>G139/100*N139</f>
        <v>0</v>
      </c>
      <c r="P139" s="45">
        <f>(G139+I139+K139+M139+O139)*0.15</f>
        <v>98.1387503781044</v>
      </c>
      <c r="Q139" s="45">
        <f>(G139+I139+K139+M139+P139+O139)</f>
        <v>752.3970862321338</v>
      </c>
      <c r="R139" s="45">
        <f>Q139*D139</f>
        <v>112.85956293482006</v>
      </c>
      <c r="S139" s="56">
        <v>30.4</v>
      </c>
      <c r="T139" s="45">
        <f>R139/100*S139</f>
        <v>34.309307132185296</v>
      </c>
      <c r="U139" s="45">
        <f>R139+T139</f>
        <v>147.16887006700534</v>
      </c>
      <c r="V139" s="69"/>
    </row>
    <row r="140" spans="1:22" ht="19.5">
      <c r="A140" s="409"/>
      <c r="B140" s="411"/>
      <c r="C140" s="71" t="s">
        <v>93</v>
      </c>
      <c r="D140" s="68"/>
      <c r="E140" s="56"/>
      <c r="F140" s="45"/>
      <c r="G140" s="45"/>
      <c r="H140" s="56"/>
      <c r="I140" s="45"/>
      <c r="J140" s="56"/>
      <c r="K140" s="45"/>
      <c r="L140" s="56"/>
      <c r="M140" s="45"/>
      <c r="N140" s="56"/>
      <c r="O140" s="45"/>
      <c r="P140" s="45"/>
      <c r="Q140" s="45"/>
      <c r="R140" s="45"/>
      <c r="S140" s="56"/>
      <c r="T140" s="45"/>
      <c r="U140" s="45"/>
      <c r="V140" s="69">
        <f>SUM(R138:R139)</f>
        <v>861.161936108667</v>
      </c>
    </row>
    <row r="141" spans="1:22" ht="19.5">
      <c r="A141" s="409"/>
      <c r="B141" s="411"/>
      <c r="C141" s="71" t="s">
        <v>94</v>
      </c>
      <c r="D141" s="68"/>
      <c r="E141" s="56"/>
      <c r="F141" s="45"/>
      <c r="G141" s="45"/>
      <c r="H141" s="56"/>
      <c r="I141" s="45"/>
      <c r="J141" s="56"/>
      <c r="K141" s="45"/>
      <c r="L141" s="56"/>
      <c r="M141" s="45"/>
      <c r="N141" s="56"/>
      <c r="O141" s="45"/>
      <c r="P141" s="45"/>
      <c r="Q141" s="45"/>
      <c r="R141" s="45"/>
      <c r="S141" s="56"/>
      <c r="T141" s="45"/>
      <c r="U141" s="45"/>
      <c r="V141" s="69">
        <f>SUM(T138:T139)</f>
        <v>261.7932285770347</v>
      </c>
    </row>
    <row r="142" spans="1:22" ht="19.5">
      <c r="A142" s="409"/>
      <c r="B142" s="411"/>
      <c r="C142" s="71" t="s">
        <v>95</v>
      </c>
      <c r="D142" s="68"/>
      <c r="E142" s="56"/>
      <c r="F142" s="45"/>
      <c r="G142" s="45"/>
      <c r="H142" s="56"/>
      <c r="I142" s="45"/>
      <c r="J142" s="56"/>
      <c r="K142" s="45"/>
      <c r="L142" s="56"/>
      <c r="M142" s="45"/>
      <c r="N142" s="56"/>
      <c r="O142" s="45"/>
      <c r="P142" s="45"/>
      <c r="Q142" s="45"/>
      <c r="R142" s="45"/>
      <c r="S142" s="56"/>
      <c r="T142" s="45"/>
      <c r="U142" s="45"/>
      <c r="V142" s="330"/>
    </row>
    <row r="143" spans="1:22" ht="19.5">
      <c r="A143" s="409"/>
      <c r="B143" s="411"/>
      <c r="C143" s="71" t="s">
        <v>96</v>
      </c>
      <c r="D143" s="68"/>
      <c r="E143" s="56"/>
      <c r="F143" s="45"/>
      <c r="G143" s="45"/>
      <c r="H143" s="56"/>
      <c r="I143" s="45"/>
      <c r="J143" s="56"/>
      <c r="K143" s="45"/>
      <c r="L143" s="56"/>
      <c r="M143" s="45"/>
      <c r="N143" s="56"/>
      <c r="O143" s="45"/>
      <c r="P143" s="45"/>
      <c r="Q143" s="45"/>
      <c r="R143" s="45"/>
      <c r="S143" s="56"/>
      <c r="T143" s="45"/>
      <c r="U143" s="45"/>
      <c r="V143" s="70">
        <f>SUM(V140:V142)</f>
        <v>1122.9551646857017</v>
      </c>
    </row>
    <row r="144" spans="1:22" ht="18.75">
      <c r="A144" s="403"/>
      <c r="B144" s="406" t="s">
        <v>161</v>
      </c>
      <c r="C144" s="83" t="s">
        <v>93</v>
      </c>
      <c r="D144" s="68"/>
      <c r="E144" s="56"/>
      <c r="F144" s="45"/>
      <c r="G144" s="45"/>
      <c r="H144" s="56"/>
      <c r="I144" s="45"/>
      <c r="J144" s="56"/>
      <c r="K144" s="45"/>
      <c r="L144" s="56"/>
      <c r="M144" s="45"/>
      <c r="N144" s="56"/>
      <c r="O144" s="45"/>
      <c r="P144" s="45"/>
      <c r="Q144" s="45"/>
      <c r="R144" s="45"/>
      <c r="S144" s="56"/>
      <c r="T144" s="45"/>
      <c r="U144" s="45"/>
      <c r="V144" s="74">
        <f>V133+V140</f>
        <v>4557.271417564319</v>
      </c>
    </row>
    <row r="145" spans="1:22" ht="18.75">
      <c r="A145" s="404"/>
      <c r="B145" s="407"/>
      <c r="C145" s="83" t="s">
        <v>94</v>
      </c>
      <c r="D145" s="68"/>
      <c r="E145" s="56"/>
      <c r="F145" s="45"/>
      <c r="G145" s="45"/>
      <c r="H145" s="56"/>
      <c r="I145" s="45"/>
      <c r="J145" s="56"/>
      <c r="K145" s="45"/>
      <c r="L145" s="56"/>
      <c r="M145" s="45"/>
      <c r="N145" s="56"/>
      <c r="O145" s="45"/>
      <c r="P145" s="45"/>
      <c r="Q145" s="45"/>
      <c r="R145" s="45"/>
      <c r="S145" s="56"/>
      <c r="T145" s="45"/>
      <c r="U145" s="45"/>
      <c r="V145" s="74">
        <f>V134+V141</f>
        <v>1385.4105109395528</v>
      </c>
    </row>
    <row r="146" spans="1:22" ht="18.75">
      <c r="A146" s="404"/>
      <c r="B146" s="407"/>
      <c r="C146" s="83" t="s">
        <v>107</v>
      </c>
      <c r="D146" s="68"/>
      <c r="E146" s="56"/>
      <c r="F146" s="45"/>
      <c r="G146" s="45"/>
      <c r="H146" s="56"/>
      <c r="I146" s="45"/>
      <c r="J146" s="56"/>
      <c r="K146" s="45"/>
      <c r="L146" s="56"/>
      <c r="M146" s="45"/>
      <c r="N146" s="56"/>
      <c r="O146" s="45"/>
      <c r="P146" s="45"/>
      <c r="Q146" s="45"/>
      <c r="R146" s="45"/>
      <c r="S146" s="56"/>
      <c r="T146" s="45"/>
      <c r="U146" s="45"/>
      <c r="V146" s="74">
        <f>V135</f>
        <v>0</v>
      </c>
    </row>
    <row r="147" spans="1:22" ht="18.75">
      <c r="A147" s="404"/>
      <c r="B147" s="407"/>
      <c r="C147" s="83" t="s">
        <v>95</v>
      </c>
      <c r="D147" s="68"/>
      <c r="E147" s="56"/>
      <c r="F147" s="45"/>
      <c r="G147" s="45"/>
      <c r="H147" s="56"/>
      <c r="I147" s="45"/>
      <c r="J147" s="56"/>
      <c r="K147" s="45"/>
      <c r="L147" s="56"/>
      <c r="M147" s="45"/>
      <c r="N147" s="56"/>
      <c r="O147" s="45"/>
      <c r="P147" s="45"/>
      <c r="Q147" s="45"/>
      <c r="R147" s="45"/>
      <c r="S147" s="56"/>
      <c r="T147" s="45"/>
      <c r="U147" s="45"/>
      <c r="V147" s="74">
        <f>V136+V142</f>
        <v>0</v>
      </c>
    </row>
    <row r="148" spans="1:22" ht="18.75">
      <c r="A148" s="404"/>
      <c r="B148" s="407"/>
      <c r="C148" s="87" t="s">
        <v>96</v>
      </c>
      <c r="D148" s="88"/>
      <c r="E148" s="89"/>
      <c r="F148" s="47"/>
      <c r="G148" s="47"/>
      <c r="H148" s="89"/>
      <c r="I148" s="47"/>
      <c r="J148" s="89"/>
      <c r="K148" s="47"/>
      <c r="L148" s="89"/>
      <c r="M148" s="47"/>
      <c r="N148" s="89"/>
      <c r="O148" s="47"/>
      <c r="P148" s="47"/>
      <c r="Q148" s="47"/>
      <c r="R148" s="47"/>
      <c r="S148" s="89"/>
      <c r="T148" s="47"/>
      <c r="U148" s="47"/>
      <c r="V148" s="90">
        <f>SUM(V144:V147)</f>
        <v>5942.681928503871</v>
      </c>
    </row>
    <row r="149" spans="1:22" s="96" customFormat="1" ht="22.5">
      <c r="A149" s="412"/>
      <c r="B149" s="415" t="s">
        <v>162</v>
      </c>
      <c r="C149" s="91" t="s">
        <v>93</v>
      </c>
      <c r="D149" s="92"/>
      <c r="E149" s="93"/>
      <c r="F149" s="94"/>
      <c r="G149" s="94"/>
      <c r="H149" s="93"/>
      <c r="I149" s="94"/>
      <c r="J149" s="93"/>
      <c r="K149" s="94"/>
      <c r="L149" s="93"/>
      <c r="M149" s="94"/>
      <c r="N149" s="93"/>
      <c r="O149" s="94"/>
      <c r="P149" s="94"/>
      <c r="Q149" s="94"/>
      <c r="R149" s="94"/>
      <c r="S149" s="93"/>
      <c r="T149" s="94"/>
      <c r="U149" s="94"/>
      <c r="V149" s="95">
        <f>V77+V108+V122+V144</f>
        <v>41111.224379637504</v>
      </c>
    </row>
    <row r="150" spans="1:22" s="96" customFormat="1" ht="22.5">
      <c r="A150" s="413"/>
      <c r="B150" s="416"/>
      <c r="C150" s="91" t="s">
        <v>94</v>
      </c>
      <c r="D150" s="92"/>
      <c r="E150" s="93"/>
      <c r="F150" s="94"/>
      <c r="G150" s="94"/>
      <c r="H150" s="93"/>
      <c r="I150" s="94"/>
      <c r="J150" s="93"/>
      <c r="K150" s="94"/>
      <c r="L150" s="93"/>
      <c r="M150" s="94"/>
      <c r="N150" s="93"/>
      <c r="O150" s="94"/>
      <c r="P150" s="94"/>
      <c r="Q150" s="94"/>
      <c r="R150" s="94"/>
      <c r="S150" s="93"/>
      <c r="T150" s="94"/>
      <c r="U150" s="94"/>
      <c r="V150" s="95">
        <f>V78+V109+V123+V145</f>
        <v>12497.8122114098</v>
      </c>
    </row>
    <row r="151" spans="1:22" s="96" customFormat="1" ht="22.5">
      <c r="A151" s="413"/>
      <c r="B151" s="416"/>
      <c r="C151" s="91" t="s">
        <v>107</v>
      </c>
      <c r="D151" s="92"/>
      <c r="E151" s="93"/>
      <c r="F151" s="94"/>
      <c r="G151" s="94"/>
      <c r="H151" s="93"/>
      <c r="I151" s="94"/>
      <c r="J151" s="93"/>
      <c r="K151" s="94"/>
      <c r="L151" s="93"/>
      <c r="M151" s="94"/>
      <c r="N151" s="93"/>
      <c r="O151" s="94"/>
      <c r="P151" s="94"/>
      <c r="Q151" s="94"/>
      <c r="R151" s="94"/>
      <c r="S151" s="93"/>
      <c r="T151" s="94"/>
      <c r="U151" s="94"/>
      <c r="V151" s="95">
        <f>V79+V110+V124+V146</f>
        <v>529.1580580608</v>
      </c>
    </row>
    <row r="152" spans="1:22" s="96" customFormat="1" ht="22.5">
      <c r="A152" s="413"/>
      <c r="B152" s="416"/>
      <c r="C152" s="91" t="s">
        <v>95</v>
      </c>
      <c r="D152" s="92"/>
      <c r="E152" s="93"/>
      <c r="F152" s="94"/>
      <c r="G152" s="94"/>
      <c r="H152" s="93"/>
      <c r="I152" s="94"/>
      <c r="J152" s="93"/>
      <c r="K152" s="94"/>
      <c r="L152" s="93"/>
      <c r="M152" s="94"/>
      <c r="N152" s="93"/>
      <c r="O152" s="94"/>
      <c r="P152" s="94"/>
      <c r="Q152" s="94"/>
      <c r="R152" s="94"/>
      <c r="S152" s="93"/>
      <c r="T152" s="94"/>
      <c r="U152" s="94"/>
      <c r="V152" s="95">
        <f>V80+V111+V125+V147</f>
        <v>0</v>
      </c>
    </row>
    <row r="153" spans="1:22" s="96" customFormat="1" ht="22.5">
      <c r="A153" s="414"/>
      <c r="B153" s="417"/>
      <c r="C153" s="91" t="s">
        <v>96</v>
      </c>
      <c r="D153" s="92"/>
      <c r="E153" s="93"/>
      <c r="F153" s="94"/>
      <c r="G153" s="94"/>
      <c r="H153" s="93"/>
      <c r="I153" s="94"/>
      <c r="J153" s="93"/>
      <c r="K153" s="94"/>
      <c r="L153" s="93"/>
      <c r="M153" s="94"/>
      <c r="N153" s="93"/>
      <c r="O153" s="94"/>
      <c r="P153" s="94"/>
      <c r="Q153" s="94"/>
      <c r="R153" s="94"/>
      <c r="S153" s="93"/>
      <c r="T153" s="94"/>
      <c r="U153" s="94"/>
      <c r="V153" s="95">
        <f>V149+V150+V151+V152</f>
        <v>54138.1946491081</v>
      </c>
    </row>
  </sheetData>
  <sheetProtection/>
  <mergeCells count="61">
    <mergeCell ref="A144:A148"/>
    <mergeCell ref="B144:B148"/>
    <mergeCell ref="A122:A126"/>
    <mergeCell ref="B122:B126"/>
    <mergeCell ref="A149:A153"/>
    <mergeCell ref="B149:B153"/>
    <mergeCell ref="A128:A137"/>
    <mergeCell ref="B128:B137"/>
    <mergeCell ref="A138:A143"/>
    <mergeCell ref="B138:B143"/>
    <mergeCell ref="A92:A107"/>
    <mergeCell ref="B92:B107"/>
    <mergeCell ref="A108:A112"/>
    <mergeCell ref="B108:B112"/>
    <mergeCell ref="A114:A121"/>
    <mergeCell ref="B114:B121"/>
    <mergeCell ref="A72:A76"/>
    <mergeCell ref="B72:B76"/>
    <mergeCell ref="A77:A81"/>
    <mergeCell ref="B77:B81"/>
    <mergeCell ref="A85:A91"/>
    <mergeCell ref="B85:B91"/>
    <mergeCell ref="A45:A51"/>
    <mergeCell ref="B45:B51"/>
    <mergeCell ref="A52:A61"/>
    <mergeCell ref="B52:B61"/>
    <mergeCell ref="A62:A71"/>
    <mergeCell ref="B62:B71"/>
    <mergeCell ref="A20:A29"/>
    <mergeCell ref="B20:B29"/>
    <mergeCell ref="A30:A35"/>
    <mergeCell ref="B30:B35"/>
    <mergeCell ref="A36:A44"/>
    <mergeCell ref="B36:B44"/>
    <mergeCell ref="P3:P4"/>
    <mergeCell ref="H3:I3"/>
    <mergeCell ref="J3:K3"/>
    <mergeCell ref="A7:A13"/>
    <mergeCell ref="B7:B13"/>
    <mergeCell ref="A14:A19"/>
    <mergeCell ref="B14:B19"/>
    <mergeCell ref="U3:U4"/>
    <mergeCell ref="V3:V4"/>
    <mergeCell ref="G3:G4"/>
    <mergeCell ref="H5:I5"/>
    <mergeCell ref="J5:K5"/>
    <mergeCell ref="L5:M5"/>
    <mergeCell ref="N5:O5"/>
    <mergeCell ref="S5:T5"/>
    <mergeCell ref="L3:M3"/>
    <mergeCell ref="N3:O3"/>
    <mergeCell ref="Q3:Q4"/>
    <mergeCell ref="R3:R4"/>
    <mergeCell ref="S3:T3"/>
    <mergeCell ref="A1:V1"/>
    <mergeCell ref="A3:A4"/>
    <mergeCell ref="B3:B4"/>
    <mergeCell ref="C3:C4"/>
    <mergeCell ref="D3:D4"/>
    <mergeCell ref="E3:E4"/>
    <mergeCell ref="F3:F4"/>
  </mergeCells>
  <printOptions/>
  <pageMargins left="0.3937007874015748" right="0.3937007874015748" top="0.7874015748031497" bottom="0.3937007874015748" header="0.31496062992125984" footer="0.31496062992125984"/>
  <pageSetup fitToHeight="7" fitToWidth="1" horizontalDpi="1200" verticalDpi="1200" orientation="landscape" paperSize="9" scale="3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6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5"/>
  <cols>
    <col min="1" max="1" width="23.140625" style="97" customWidth="1"/>
    <col min="2" max="2" width="11.57421875" style="97" customWidth="1"/>
    <col min="3" max="3" width="11.28125" style="97" customWidth="1"/>
    <col min="4" max="4" width="11.8515625" style="97" customWidth="1"/>
    <col min="5" max="5" width="11.57421875" style="98" bestFit="1" customWidth="1"/>
    <col min="6" max="6" width="12.57421875" style="98" bestFit="1" customWidth="1"/>
    <col min="7" max="7" width="11.140625" style="98" customWidth="1"/>
    <col min="8" max="8" width="12.00390625" style="98" customWidth="1"/>
    <col min="9" max="9" width="12.140625" style="98" customWidth="1"/>
    <col min="10" max="10" width="12.421875" style="98" customWidth="1"/>
    <col min="11" max="11" width="11.57421875" style="98" customWidth="1"/>
    <col min="12" max="12" width="12.57421875" style="98" bestFit="1" customWidth="1"/>
    <col min="13" max="13" width="12.7109375" style="98" customWidth="1"/>
    <col min="14" max="14" width="18.7109375" style="98" bestFit="1" customWidth="1"/>
    <col min="15" max="15" width="12.140625" style="98" customWidth="1"/>
    <col min="16" max="16" width="12.421875" style="98" customWidth="1"/>
    <col min="17" max="17" width="10.57421875" style="98" customWidth="1"/>
    <col min="18" max="18" width="12.421875" style="98" customWidth="1"/>
    <col min="19" max="19" width="12.140625" style="98" customWidth="1"/>
    <col min="20" max="20" width="11.140625" style="98" customWidth="1"/>
    <col min="21" max="22" width="11.421875" style="98" customWidth="1"/>
    <col min="23" max="23" width="10.7109375" style="98" customWidth="1"/>
    <col min="24" max="24" width="13.00390625" style="98" customWidth="1"/>
    <col min="25" max="25" width="12.57421875" style="98" bestFit="1" customWidth="1"/>
    <col min="26" max="26" width="10.28125" style="98" customWidth="1"/>
    <col min="27" max="27" width="12.00390625" style="98" customWidth="1"/>
    <col min="28" max="28" width="13.140625" style="98" customWidth="1"/>
    <col min="29" max="29" width="9.57421875" style="98" customWidth="1"/>
    <col min="30" max="30" width="12.8515625" style="98" customWidth="1"/>
    <col min="31" max="31" width="12.28125" style="98" customWidth="1"/>
    <col min="32" max="32" width="9.421875" style="98" customWidth="1"/>
    <col min="33" max="33" width="11.8515625" style="97" customWidth="1"/>
    <col min="34" max="34" width="13.57421875" style="97" customWidth="1"/>
    <col min="35" max="35" width="9.57421875" style="97" customWidth="1"/>
    <col min="36" max="36" width="13.00390625" style="97" customWidth="1"/>
    <col min="37" max="37" width="13.421875" style="97" customWidth="1"/>
    <col min="38" max="38" width="10.57421875" style="97" customWidth="1"/>
    <col min="39" max="39" width="12.8515625" style="97" customWidth="1"/>
    <col min="40" max="40" width="13.57421875" style="97" customWidth="1"/>
    <col min="41" max="41" width="15.28125" style="97" customWidth="1"/>
    <col min="42" max="42" width="16.28125" style="97" customWidth="1"/>
    <col min="43" max="53" width="9.28125" style="97" bestFit="1" customWidth="1"/>
    <col min="54" max="54" width="10.57421875" style="97" customWidth="1"/>
    <col min="55" max="55" width="9.421875" style="97" bestFit="1" customWidth="1"/>
    <col min="56" max="16384" width="9.140625" style="97" customWidth="1"/>
  </cols>
  <sheetData>
    <row r="1" spans="30:32" ht="12.75" customHeight="1">
      <c r="AD1" s="425"/>
      <c r="AE1" s="425"/>
      <c r="AF1" s="425"/>
    </row>
    <row r="2" spans="30:32" ht="12.75">
      <c r="AD2" s="99"/>
      <c r="AE2" s="99"/>
      <c r="AF2" s="99"/>
    </row>
    <row r="3" spans="30:32" ht="12.75" customHeight="1">
      <c r="AD3" s="100"/>
      <c r="AE3" s="100"/>
      <c r="AF3" s="100"/>
    </row>
    <row r="4" spans="1:20" ht="31.5" customHeight="1">
      <c r="A4" s="426" t="s">
        <v>521</v>
      </c>
      <c r="B4" s="426"/>
      <c r="C4" s="426"/>
      <c r="D4" s="426"/>
      <c r="E4" s="426"/>
      <c r="F4" s="426"/>
      <c r="G4" s="426"/>
      <c r="H4" s="426"/>
      <c r="I4" s="101"/>
      <c r="J4" s="101"/>
      <c r="K4" s="101"/>
      <c r="Q4" s="427"/>
      <c r="R4" s="427"/>
      <c r="S4" s="427"/>
      <c r="T4" s="427"/>
    </row>
    <row r="5" spans="1:55" ht="12.75">
      <c r="A5" s="428"/>
      <c r="B5" s="428"/>
      <c r="C5" s="428"/>
      <c r="D5" s="428"/>
      <c r="E5" s="428"/>
      <c r="F5" s="428"/>
      <c r="G5" s="428"/>
      <c r="H5" s="428"/>
      <c r="I5" s="103"/>
      <c r="J5" s="103"/>
      <c r="K5" s="103"/>
      <c r="L5" s="103"/>
      <c r="M5" s="103"/>
      <c r="N5" s="103"/>
      <c r="O5" s="103"/>
      <c r="P5" s="103"/>
      <c r="Q5" s="103"/>
      <c r="BA5" s="104"/>
      <c r="BB5" s="104"/>
      <c r="BC5" s="104"/>
    </row>
    <row r="6" ht="12.75">
      <c r="N6" s="105"/>
    </row>
    <row r="7" spans="1:14" ht="12.75" customHeight="1">
      <c r="A7" s="429" t="s">
        <v>163</v>
      </c>
      <c r="B7" s="429"/>
      <c r="C7" s="430" t="s">
        <v>164</v>
      </c>
      <c r="D7" s="432" t="s">
        <v>522</v>
      </c>
      <c r="E7" s="420" t="s">
        <v>165</v>
      </c>
      <c r="F7" s="420" t="s">
        <v>166</v>
      </c>
      <c r="G7" s="420" t="s">
        <v>167</v>
      </c>
      <c r="H7" s="420" t="s">
        <v>168</v>
      </c>
      <c r="I7" s="107"/>
      <c r="J7" s="107"/>
      <c r="K7" s="107"/>
      <c r="L7" s="107"/>
      <c r="M7" s="107"/>
      <c r="N7" s="107"/>
    </row>
    <row r="8" spans="1:14" ht="42" customHeight="1">
      <c r="A8" s="106" t="s">
        <v>169</v>
      </c>
      <c r="B8" s="106" t="s">
        <v>170</v>
      </c>
      <c r="C8" s="431"/>
      <c r="D8" s="433"/>
      <c r="E8" s="421"/>
      <c r="F8" s="421"/>
      <c r="G8" s="421"/>
      <c r="H8" s="421"/>
      <c r="I8" s="108"/>
      <c r="J8" s="108"/>
      <c r="K8" s="108"/>
      <c r="L8" s="108"/>
      <c r="M8" s="108"/>
      <c r="N8" s="108"/>
    </row>
    <row r="9" spans="1:32" s="102" customFormat="1" ht="12.75">
      <c r="A9" s="109" t="s">
        <v>171</v>
      </c>
      <c r="B9" s="109" t="s">
        <v>172</v>
      </c>
      <c r="C9" s="109" t="s">
        <v>325</v>
      </c>
      <c r="D9" s="110">
        <f>34.82*1.046</f>
        <v>36.42172</v>
      </c>
      <c r="E9" s="111">
        <f>расстояния!E7</f>
        <v>20.607999999999997</v>
      </c>
      <c r="F9" s="112">
        <v>14.1</v>
      </c>
      <c r="G9" s="112">
        <f>E9*F9/100</f>
        <v>2.905728</v>
      </c>
      <c r="H9" s="112">
        <f>$D9*G9</f>
        <v>105.83161161216</v>
      </c>
      <c r="I9" s="113"/>
      <c r="J9" s="113"/>
      <c r="K9" s="113"/>
      <c r="L9" s="113"/>
      <c r="M9" s="113"/>
      <c r="N9" s="114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</row>
    <row r="10" spans="1:32" s="120" customFormat="1" ht="13.5" customHeight="1">
      <c r="A10" s="422" t="s">
        <v>173</v>
      </c>
      <c r="B10" s="422"/>
      <c r="C10" s="422"/>
      <c r="D10" s="422"/>
      <c r="E10" s="116">
        <f>SUM(E9:E9)</f>
        <v>20.607999999999997</v>
      </c>
      <c r="F10" s="116">
        <f>SUM(F9:F9)</f>
        <v>14.1</v>
      </c>
      <c r="G10" s="116">
        <f>SUM(G9:G9)</f>
        <v>2.905728</v>
      </c>
      <c r="H10" s="116">
        <f>SUM(H9:H9)</f>
        <v>105.83161161216</v>
      </c>
      <c r="I10" s="117"/>
      <c r="J10" s="117"/>
      <c r="K10" s="117"/>
      <c r="L10" s="117"/>
      <c r="M10" s="117"/>
      <c r="N10" s="118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</row>
    <row r="11" spans="1:8" ht="12.75" customHeight="1">
      <c r="A11" s="423"/>
      <c r="B11" s="423"/>
      <c r="C11" s="423"/>
      <c r="D11" s="423"/>
      <c r="E11" s="121"/>
      <c r="F11" s="119"/>
      <c r="G11" s="119"/>
      <c r="H11" s="119"/>
    </row>
    <row r="12" spans="8:14" ht="12.75">
      <c r="H12" s="122"/>
      <c r="I12" s="122"/>
      <c r="L12" s="114"/>
      <c r="M12" s="114"/>
      <c r="N12" s="114"/>
    </row>
    <row r="13" spans="1:14" ht="12.75">
      <c r="A13" s="123"/>
      <c r="B13" s="123"/>
      <c r="C13" s="123"/>
      <c r="D13" s="123"/>
      <c r="E13" s="122"/>
      <c r="F13" s="122"/>
      <c r="G13" s="122"/>
      <c r="H13" s="122"/>
      <c r="I13" s="122"/>
      <c r="J13" s="122"/>
      <c r="K13" s="108"/>
      <c r="L13" s="114"/>
      <c r="M13" s="114"/>
      <c r="N13" s="114"/>
    </row>
    <row r="14" spans="1:32" s="126" customFormat="1" ht="12.75" customHeight="1">
      <c r="A14" s="424" t="s">
        <v>174</v>
      </c>
      <c r="B14" s="424"/>
      <c r="C14" s="123"/>
      <c r="D14" s="123"/>
      <c r="E14" s="122"/>
      <c r="F14" s="418" t="s">
        <v>175</v>
      </c>
      <c r="G14" s="418"/>
      <c r="H14" s="122"/>
      <c r="I14" s="122"/>
      <c r="J14" s="418"/>
      <c r="K14" s="418"/>
      <c r="L14" s="124"/>
      <c r="M14" s="124"/>
      <c r="N14" s="124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</row>
    <row r="15" spans="11:14" ht="12.75">
      <c r="K15" s="114"/>
      <c r="L15" s="114"/>
      <c r="M15" s="114"/>
      <c r="N15" s="114"/>
    </row>
    <row r="16" spans="1:2" ht="12.75">
      <c r="A16" s="419"/>
      <c r="B16" s="419"/>
    </row>
  </sheetData>
  <sheetProtection/>
  <mergeCells count="17">
    <mergeCell ref="AD1:AF1"/>
    <mergeCell ref="A4:H4"/>
    <mergeCell ref="Q4:T4"/>
    <mergeCell ref="A5:H5"/>
    <mergeCell ref="A7:B7"/>
    <mergeCell ref="C7:C8"/>
    <mergeCell ref="D7:D8"/>
    <mergeCell ref="E7:E8"/>
    <mergeCell ref="F7:F8"/>
    <mergeCell ref="G7:G8"/>
    <mergeCell ref="J14:K14"/>
    <mergeCell ref="A16:B16"/>
    <mergeCell ref="H7:H8"/>
    <mergeCell ref="A10:D10"/>
    <mergeCell ref="A11:D11"/>
    <mergeCell ref="A14:B14"/>
    <mergeCell ref="F14:G14"/>
  </mergeCells>
  <printOptions/>
  <pageMargins left="0.7874015748031497" right="0.3937007874015748" top="0.3937007874015748" bottom="0.3937007874015748" header="0.31496062992125984" footer="0.31496062992125984"/>
  <pageSetup fitToHeight="1" fitToWidth="1"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Колышницына Наталья Владимировна</dc:creator>
  <cp:keywords/>
  <dc:description/>
  <cp:lastModifiedBy>Самойленко Наталья Витальевна</cp:lastModifiedBy>
  <cp:lastPrinted>2019-10-22T10:29:57Z</cp:lastPrinted>
  <dcterms:created xsi:type="dcterms:W3CDTF">2017-10-30T03:32:33Z</dcterms:created>
  <dcterms:modified xsi:type="dcterms:W3CDTF">2021-10-27T07:28:46Z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