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2980" windowHeight="9552" activeTab="6"/>
  </bookViews>
  <sheets>
    <sheet name="титул ЭЭ" sheetId="1" r:id="rId1"/>
    <sheet name="4" sheetId="2" r:id="rId2"/>
    <sheet name="5" sheetId="3" r:id="rId3"/>
    <sheet name="6" sheetId="4" r:id="rId4"/>
    <sheet name="15 (ЭЭ)" sheetId="5" r:id="rId5"/>
    <sheet name="18.2" sheetId="6" r:id="rId6"/>
    <sheet name="2012 факт ЭЭ" sheetId="7" r:id="rId7"/>
    <sheet name="20" sheetId="8" r:id="rId8"/>
    <sheet name="20.3" sheetId="9" r:id="rId9"/>
    <sheet name="21.3" sheetId="10" r:id="rId10"/>
    <sheet name="24" sheetId="11" r:id="rId11"/>
    <sheet name="25" sheetId="12" r:id="rId12"/>
    <sheet name="27" sheetId="13" r:id="rId13"/>
    <sheet name="Табл. расходо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Зпот_вн">#REF!</definedName>
    <definedName name="Зпот_нн">#REF!</definedName>
    <definedName name="Зпот_сн1">#REF!</definedName>
    <definedName name="Зпот_сн2">#REF!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_xlnm.Print_Area" localSheetId="4">'15 (ЭЭ)'!$A$1:$E$52</definedName>
    <definedName name="_xlnm.Print_Area" localSheetId="5">'18.2'!$A$1:$H$54</definedName>
    <definedName name="_xlnm.Print_Area" localSheetId="7">'20'!$A$1:$E$38</definedName>
    <definedName name="_xlnm.Print_Area" localSheetId="8">'20.3'!$A$1:$G$30</definedName>
    <definedName name="_xlnm.Print_Area" localSheetId="6">'2012 факт ЭЭ'!$A$1:$E$33</definedName>
    <definedName name="_xlnm.Print_Area" localSheetId="9">'21.3'!$A$1:$H$50</definedName>
    <definedName name="_xlnm.Print_Area" localSheetId="10">'24'!$A$1:$K$42</definedName>
    <definedName name="_xlnm.Print_Area" localSheetId="11">'25'!$A$1:$H$45</definedName>
    <definedName name="_xlnm.Print_Area" localSheetId="12">'27'!$A$1:$R$33</definedName>
    <definedName name="_xlnm.Print_Area" localSheetId="1">'4'!$A$1:$S$36</definedName>
    <definedName name="_xlnm.Print_Area" localSheetId="2">'5'!$A$1:$S$28</definedName>
    <definedName name="_xlnm.Print_Area" localSheetId="3">'6'!$A$1:$R$36</definedName>
    <definedName name="_xlnm.Print_Area" localSheetId="13">'Табл. расходов'!$A$1:$H$61</definedName>
    <definedName name="Тпот_вн">#REF!</definedName>
    <definedName name="Тпот_нн">#REF!</definedName>
    <definedName name="Тпот_сн1">#REF!</definedName>
    <definedName name="Тпот_сн2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эс">#REF!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<sst xmlns="http://schemas.openxmlformats.org/spreadsheetml/2006/main" count="899" uniqueCount="450">
  <si>
    <t>Таблица П1.4</t>
  </si>
  <si>
    <t>СОГЛАСОВАНО:</t>
  </si>
  <si>
    <t>Зам.директора по развитию и реализации услуг</t>
  </si>
  <si>
    <t>Директор</t>
  </si>
  <si>
    <t>филиала ОАО "МРСК Сибири" - "АК "Омскэнерго"</t>
  </si>
  <si>
    <t>ОАО "Электротехнический комплекс"</t>
  </si>
  <si>
    <t>С.Ю. Некурящих</t>
  </si>
  <si>
    <t>А.Ю. Лунёв</t>
  </si>
  <si>
    <t>________________________________________</t>
  </si>
  <si>
    <t>"_____"_________________ 2009г.</t>
  </si>
  <si>
    <t>Баланс электрической энергии по сетям ВН, СН11 и НН</t>
  </si>
  <si>
    <t>(МВт·ч)</t>
  </si>
  <si>
    <t>№
п/п</t>
  </si>
  <si>
    <t>Показатели</t>
  </si>
  <si>
    <t>Базовый период
2013 год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</si>
  <si>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</si>
  <si>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</si>
  <si>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</si>
  <si>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</si>
  <si>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</si>
  <si>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</si>
  <si>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</si>
  <si>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</si>
  <si>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</si>
  <si>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</si>
  <si>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</si>
  <si>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</si>
  <si>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</si>
  <si>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</si>
  <si>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</si>
  <si>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</si>
  <si>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</si>
  <si>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</si>
  <si>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</si>
  <si>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</si>
  <si>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</si>
  <si>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</si>
  <si>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</si>
  <si>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</si>
  <si>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</si>
  <si>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</si>
  <si>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</si>
  <si>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</si>
  <si>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</si>
  <si>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в другие сетевые организации</t>
  </si>
  <si>
    <t>5</t>
  </si>
  <si>
    <t>сальдо переток на более низкие уровни напряжения</t>
  </si>
  <si>
    <t>Таблица П1.5</t>
  </si>
  <si>
    <t>Электрическая мощность по диапазонам напряжения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</si>
  <si>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</si>
  <si>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</si>
  <si>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</si>
  <si>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</si>
  <si>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</si>
  <si>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</si>
  <si>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</si>
  <si>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</si>
  <si>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</si>
  <si>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</si>
  <si>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</si>
  <si>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ЧЧИ</t>
  </si>
  <si>
    <t xml:space="preserve">Структура полезного отпуска электрической энергии (мощности) по группам потребителей </t>
  </si>
  <si>
    <t>№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</si>
  <si>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</si>
  <si>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</si>
  <si>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тыс.кВт. </t>
  </si>
  <si>
    <t>Число часов использо-
вания, час</t>
  </si>
  <si>
    <t xml:space="preserve">Доля потребления на разных диапазонах напряжений, % </t>
  </si>
  <si>
    <t xml:space="preserve">Всего </t>
  </si>
  <si>
    <t>2004 год</t>
  </si>
  <si>
    <t>1.</t>
  </si>
  <si>
    <t>Базовые потребители</t>
  </si>
  <si>
    <t>Потребитель 1</t>
  </si>
  <si>
    <t>Потребитель 2</t>
  </si>
  <si>
    <t>…</t>
  </si>
  <si>
    <t>2.</t>
  </si>
  <si>
    <t>Бюджетные потребители</t>
  </si>
  <si>
    <t>3.</t>
  </si>
  <si>
    <t>Население</t>
  </si>
  <si>
    <t>4.</t>
  </si>
  <si>
    <t>Прочие потребители</t>
  </si>
  <si>
    <t>5.</t>
  </si>
  <si>
    <t xml:space="preserve">Итого </t>
  </si>
  <si>
    <t>Начальник ПЭО</t>
  </si>
  <si>
    <t>М.С. Мироненко</t>
  </si>
  <si>
    <t>Таблица № П1.15.</t>
  </si>
  <si>
    <t>Смета расходов</t>
  </si>
  <si>
    <t>на передачу электрической энергии по сетям</t>
  </si>
  <si>
    <t>тыс.руб.</t>
  </si>
  <si>
    <t>п.п.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</si>
  <si>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</si>
  <si>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</si>
  <si>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</si>
  <si>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</si>
  <si>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 характера</t>
  </si>
  <si>
    <t>Топливо на технологические цели</t>
  </si>
  <si>
    <t xml:space="preserve">Энергия </t>
  </si>
  <si>
    <t>5.1.</t>
  </si>
  <si>
    <t>Энергия на технологические цели</t>
  </si>
  <si>
    <t>5.2.</t>
  </si>
  <si>
    <t>Энергия на хозяйственные нужды</t>
  </si>
  <si>
    <t>6.</t>
  </si>
  <si>
    <t>Затраты на оплату труда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</si>
  <si>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</si>
  <si>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</si>
  <si>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</si>
  <si>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</si>
  <si>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</si>
  <si>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</si>
  <si>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</si>
  <si>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Целевые средства на НИОКР</t>
  </si>
  <si>
    <t>9.2.</t>
  </si>
  <si>
    <t>Средства на  страхование</t>
  </si>
  <si>
    <t>9.3.</t>
  </si>
  <si>
    <t>Плата за предельно допустимые выбросы (сбросы)</t>
  </si>
  <si>
    <t>9.4.</t>
  </si>
  <si>
    <t>Оплата за услуги по организации функционирования и развитию ЕЭС России, ОДУ в электроэнергетике…</t>
  </si>
  <si>
    <t>9.5.</t>
  </si>
  <si>
    <t>Отчисления в ремонтный фонд (в случае его формирования)</t>
  </si>
  <si>
    <t>9.6.</t>
  </si>
  <si>
    <t>Водный налог (ГЭС)</t>
  </si>
  <si>
    <t>9.7.</t>
  </si>
  <si>
    <t>Непроизводственные расходы
(налоги и другие обязательные платежи и сборы)</t>
  </si>
  <si>
    <t>9.7.1.</t>
  </si>
  <si>
    <t>Налог на землю</t>
  </si>
  <si>
    <t>9.7.2.</t>
  </si>
  <si>
    <t>Налог на пользователей автодорог</t>
  </si>
  <si>
    <t>9.8.</t>
  </si>
  <si>
    <t>Другие затраты, относимые на себестоимость продукции,всего</t>
  </si>
  <si>
    <t xml:space="preserve"> </t>
  </si>
  <si>
    <t>9.8.1.</t>
  </si>
  <si>
    <t>Арендная плата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</si>
  <si>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</si>
  <si>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</si>
  <si>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</si>
  <si>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</si>
  <si>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</si>
  <si>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</si>
  <si>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</si>
  <si>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Расчетные расходы по производству продукции (услуг)</t>
  </si>
  <si>
    <t>в том числе:</t>
  </si>
  <si>
    <t>13.1.</t>
  </si>
  <si>
    <t xml:space="preserve">   -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</si>
  <si>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</si>
  <si>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</si>
  <si>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</si>
  <si>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</si>
  <si>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</si>
  <si>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</si>
  <si>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13.2.</t>
  </si>
  <si>
    <t xml:space="preserve">   - тепловая энергия</t>
  </si>
  <si>
    <t>13.2.1.</t>
  </si>
  <si>
    <t>производство теплоэнергии</t>
  </si>
  <si>
    <t>13.2.2.</t>
  </si>
  <si>
    <t>покупная теплоэнергия</t>
  </si>
  <si>
    <t>13.2.3.</t>
  </si>
  <si>
    <t>передача теплоэнергии</t>
  </si>
  <si>
    <t>13.3.</t>
  </si>
  <si>
    <t xml:space="preserve">   - прочая продукция</t>
  </si>
  <si>
    <t>Таблица № П1.18.2.</t>
  </si>
  <si>
    <t xml:space="preserve">Калькуляция расходов, связанных с передачей электрической энергии </t>
  </si>
  <si>
    <t>Калькуляционные статьи затрат</t>
  </si>
  <si>
    <t>из них расходы     на сбыт</t>
  </si>
  <si>
    <t>Основная оплата труда производственных рабочих</t>
  </si>
  <si>
    <t>Дополнительная оплата труда производственных рабочих</t>
  </si>
  <si>
    <t>Страховые выплаты с ФОТ</t>
  </si>
  <si>
    <t>Расходы по содержание и эксплуатации оборудования      
в том числе :</t>
  </si>
  <si>
    <t>4.1.</t>
  </si>
  <si>
    <t>амортизация производственного оборудования</t>
  </si>
  <si>
    <t>4.2.</t>
  </si>
  <si>
    <t>ремонт</t>
  </si>
  <si>
    <t>4.3.</t>
  </si>
  <si>
    <t>другие расходы по содержанию и эксплуатации оборудования</t>
  </si>
  <si>
    <t>Расходы по подготовке и освоению производства (пусковые работы)</t>
  </si>
  <si>
    <t>Цеховые расходы</t>
  </si>
  <si>
    <t xml:space="preserve">  в т.ч. ФОТ</t>
  </si>
  <si>
    <t>Прочие</t>
  </si>
  <si>
    <t>Общехозяйственные расходы, всего в том числе:</t>
  </si>
  <si>
    <t>7.1.</t>
  </si>
  <si>
    <t>7.2.</t>
  </si>
  <si>
    <t>Средства на страхование</t>
  </si>
  <si>
    <t>7.3.</t>
  </si>
  <si>
    <t>Плата за предельно допустимые выбросы (сбросы) загрязняющих вещеcтв</t>
  </si>
  <si>
    <t>7.4.</t>
  </si>
  <si>
    <t>Отчисления в ремонтный фонд в случае его формирования</t>
  </si>
  <si>
    <t>7.5.</t>
  </si>
  <si>
    <t>Непроизводственные расходы (налоги и другие обязательные платежи и сборы) всего, в том числе:</t>
  </si>
  <si>
    <t xml:space="preserve"> - налог на землю</t>
  </si>
  <si>
    <t>7.6.</t>
  </si>
  <si>
    <t>Другие затраты, относимые на себестоимость продукции всего, в том числе:</t>
  </si>
  <si>
    <t>7.6.1.</t>
  </si>
  <si>
    <t>7.6.2.</t>
  </si>
  <si>
    <t>ФОТ</t>
  </si>
  <si>
    <t>7.6.3.</t>
  </si>
  <si>
    <t>7.6.4.</t>
  </si>
  <si>
    <t>Недополученный по независящим  причинам доход</t>
  </si>
  <si>
    <t>Итого производственные расходы</t>
  </si>
  <si>
    <t xml:space="preserve"> - чистыми</t>
  </si>
  <si>
    <t>Полезный отпуск электроэнергии,  млн.кВт.ч.</t>
  </si>
  <si>
    <t xml:space="preserve">Удельные расходы, руб./тыс.кВт.ч                                    </t>
  </si>
  <si>
    <t xml:space="preserve">Условно-постоянные затраты, в том числе: </t>
  </si>
  <si>
    <t xml:space="preserve">Сумма общехозяйственных расходов </t>
  </si>
  <si>
    <t>14.</t>
  </si>
  <si>
    <t>№ п/п</t>
  </si>
  <si>
    <t>Наименование статей затрат</t>
  </si>
  <si>
    <t>∆</t>
  </si>
  <si>
    <t>5 = 4 - 3</t>
  </si>
  <si>
    <t>ФЗП основных рабочих</t>
  </si>
  <si>
    <t>Страховые выплаты</t>
  </si>
  <si>
    <t>Расходы на сод. и экспл. оборудования, в т.ч.</t>
  </si>
  <si>
    <t>3.1.</t>
  </si>
  <si>
    <t>амортизация</t>
  </si>
  <si>
    <t>3.2.</t>
  </si>
  <si>
    <t>Ремонт и услуги произв. хар-ра</t>
  </si>
  <si>
    <t>ФОТ с ЕСН</t>
  </si>
  <si>
    <t>Общехоз. расходы</t>
  </si>
  <si>
    <t>К изъятию</t>
  </si>
  <si>
    <t>Выпадающие доходы</t>
  </si>
  <si>
    <t>ИТОГО РАСХОДОВ</t>
  </si>
  <si>
    <t>Прибыль, в т.ч.</t>
  </si>
  <si>
    <t>развитие производства</t>
  </si>
  <si>
    <t>% на покрытие убытка/кассового разрыва</t>
  </si>
  <si>
    <t>прочая</t>
  </si>
  <si>
    <t>НВВ</t>
  </si>
  <si>
    <t>Оплата потерь</t>
  </si>
  <si>
    <t>Реализация</t>
  </si>
  <si>
    <t>млн.кВтч</t>
  </si>
  <si>
    <t>Мвт</t>
  </si>
  <si>
    <t>Тариф, руб./Мвт./мес.</t>
  </si>
  <si>
    <t>Ставка по оплате потерь</t>
  </si>
  <si>
    <t>15.</t>
  </si>
  <si>
    <t>Выручка по тарифу РЭК</t>
  </si>
  <si>
    <t>16.</t>
  </si>
  <si>
    <t>Расходы на оплату услуг смежных ТСО</t>
  </si>
  <si>
    <t>17.</t>
  </si>
  <si>
    <t>Результат</t>
  </si>
  <si>
    <t>Налог на прибыль</t>
  </si>
  <si>
    <t>Таблица № П1.20</t>
  </si>
  <si>
    <t>Расчет</t>
  </si>
  <si>
    <t>источников финансирования капитальных вложений</t>
  </si>
  <si>
    <t>тыс. руб.</t>
  </si>
  <si>
    <t>Наименование</t>
  </si>
  <si>
    <t>Объем капитальных вложений - всего</t>
  </si>
  <si>
    <t xml:space="preserve">    в том числе:</t>
  </si>
  <si>
    <t xml:space="preserve">  - на производственное и научно-техническое развитие</t>
  </si>
  <si>
    <t xml:space="preserve">  - на непроизводственное развитие</t>
  </si>
  <si>
    <t>Финансирование капитальных вложений, всего</t>
  </si>
  <si>
    <t xml:space="preserve">    в т.ч. из средств</t>
  </si>
  <si>
    <t>2.1.</t>
  </si>
  <si>
    <t>Амортизационных отчислений на полное восстановление основных фондов (100 %)</t>
  </si>
  <si>
    <t>2.2.</t>
  </si>
  <si>
    <t>Неиспользованных средств на начало года</t>
  </si>
  <si>
    <t>2.3.</t>
  </si>
  <si>
    <t>Федерального бюджета</t>
  </si>
  <si>
    <t>2.4.</t>
  </si>
  <si>
    <t>Местного бюджета</t>
  </si>
  <si>
    <t>2.5.</t>
  </si>
  <si>
    <t xml:space="preserve">Регионального (республиканского, краевого, областного) бюждета </t>
  </si>
  <si>
    <t>2.6.</t>
  </si>
  <si>
    <t xml:space="preserve">Прочих </t>
  </si>
  <si>
    <t>2.7.</t>
  </si>
  <si>
    <t>Средства, полученные от реализации ценных бумаг</t>
  </si>
  <si>
    <t>2.8.</t>
  </si>
  <si>
    <t>Кредитные средства</t>
  </si>
  <si>
    <t>2.9.</t>
  </si>
  <si>
    <t>Итого по пп. 2.1. - 2.8.</t>
  </si>
  <si>
    <t>2.10.</t>
  </si>
  <si>
    <t>Прибыль (п. 1 - п. 2.9.):</t>
  </si>
  <si>
    <t xml:space="preserve">  - отнесенная на производство электрической энергии</t>
  </si>
  <si>
    <t xml:space="preserve">  - отнесенная на передачу электрической энергии</t>
  </si>
  <si>
    <t xml:space="preserve">  - отнесенная на производство тепловой энергии</t>
  </si>
  <si>
    <t xml:space="preserve">  - отнесенная на передачу тепловой энергии</t>
  </si>
  <si>
    <t xml:space="preserve">   </t>
  </si>
  <si>
    <t>Таблица № П1.20.3</t>
  </si>
  <si>
    <t xml:space="preserve">Справка о финансировании и освоении капитальных вложений 
в электросетевое строительство (передача электроэнергии) </t>
  </si>
  <si>
    <t>Наименование строек</t>
  </si>
  <si>
    <t>Утверждено на отчетный период</t>
  </si>
  <si>
    <t>В течение отчетного периода</t>
  </si>
  <si>
    <t>Остаток финансиро-вания</t>
  </si>
  <si>
    <t>План на период регулирования</t>
  </si>
  <si>
    <t>Источник финансиро-
вания</t>
  </si>
  <si>
    <t>Освоено фактически</t>
  </si>
  <si>
    <t>Профинан-сировано</t>
  </si>
  <si>
    <t>Всего</t>
  </si>
  <si>
    <t>Амортизация</t>
  </si>
  <si>
    <t>Комплект быстродействующей защиты от дуговых КЗ в шкафах КРУ</t>
  </si>
  <si>
    <t>Таблица № П.1.21.3</t>
  </si>
  <si>
    <t>Расчет балансовой прибыли, принимаемой при</t>
  </si>
  <si>
    <t>установлении тарифов на передачу</t>
  </si>
  <si>
    <t xml:space="preserve">электрической энергии </t>
  </si>
  <si>
    <t>из них
на сбыт</t>
  </si>
  <si>
    <t>из них    
на сбыт</t>
  </si>
  <si>
    <t>из них     
на сбыт</t>
  </si>
  <si>
    <t>Прибыль на развитие производства</t>
  </si>
  <si>
    <t xml:space="preserve">  - капитальные вложения</t>
  </si>
  <si>
    <t xml:space="preserve">Прибыль на социальное развитие </t>
  </si>
  <si>
    <t>Прибыль на поощрение</t>
  </si>
  <si>
    <t>Дивиденды по акциям</t>
  </si>
  <si>
    <t>Прибыль на прочие цели</t>
  </si>
  <si>
    <t xml:space="preserve"> - % за пользование кредитом</t>
  </si>
  <si>
    <t xml:space="preserve"> - услуги банка</t>
  </si>
  <si>
    <t xml:space="preserve"> - другие (с расшифровкой)</t>
  </si>
  <si>
    <t>Прибыль, облагаемая налогом</t>
  </si>
  <si>
    <t>Налоги, сборы, платежи - всего</t>
  </si>
  <si>
    <t xml:space="preserve"> - на прибыль</t>
  </si>
  <si>
    <t xml:space="preserve"> - на имущество</t>
  </si>
  <si>
    <t xml:space="preserve"> - плата за выбросы загрязняющих веществ</t>
  </si>
  <si>
    <t xml:space="preserve"> - другие налоги и обязательные сборы и платежи</t>
  </si>
  <si>
    <t xml:space="preserve"> Прибыль от товарной продукции</t>
  </si>
  <si>
    <t>Таблица № П1.24.</t>
  </si>
  <si>
    <t xml:space="preserve">Расчет платы за услуги по содержанию электрических сетей </t>
  </si>
  <si>
    <t>Единицы измерения</t>
  </si>
  <si>
    <t>из них           на сбыт</t>
  </si>
  <si>
    <t>УЕ</t>
  </si>
  <si>
    <t>Доля</t>
  </si>
  <si>
    <t>Расходы, отнесенные на передачу электрической энергии (п.11 табл.П.1.18.2.)</t>
  </si>
  <si>
    <t>1.1.</t>
  </si>
  <si>
    <t>1.2.</t>
  </si>
  <si>
    <t>СН</t>
  </si>
  <si>
    <t>в т.ч. СН1</t>
  </si>
  <si>
    <t xml:space="preserve">          СН11</t>
  </si>
  <si>
    <t>1.3.</t>
  </si>
  <si>
    <t>Прибыль, отнесенная на передачу электрической энергии (п.8 табл.П.1.21.3)</t>
  </si>
  <si>
    <t>Рентабельность (п.2 / п.1 * 100%)</t>
  </si>
  <si>
    <t>%</t>
  </si>
  <si>
    <t>Необходимая валовая выручка, отнесенная на передачу электрической энергии (п.1 + п.2)</t>
  </si>
  <si>
    <t>Плата за услуги на содержание электрических сетей в расчете на 1 МВт</t>
  </si>
  <si>
    <t>руб/МВт мес.</t>
  </si>
  <si>
    <t>5.3.</t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</si>
  <si>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(34)-(36)</t>
    </r>
  </si>
  <si>
    <t>руб/МВтч</t>
  </si>
  <si>
    <t>6.1.</t>
  </si>
  <si>
    <t>6.2.</t>
  </si>
  <si>
    <t>6.3.</t>
  </si>
  <si>
    <t>Таблица № П1.25</t>
  </si>
  <si>
    <t xml:space="preserve">Расчет ставки по оплате технологического расхода (потерь) электрической энергии 
на ее передачу по сетям </t>
  </si>
  <si>
    <t>Средневзвешенный тариф на электрическую энеергию</t>
  </si>
  <si>
    <t>Группа 1. Базовые потребители</t>
  </si>
  <si>
    <t>1.1.1.</t>
  </si>
  <si>
    <t>1.1.2.</t>
  </si>
  <si>
    <t xml:space="preserve">Группа 2-4. </t>
  </si>
  <si>
    <t xml:space="preserve">2. </t>
  </si>
  <si>
    <t>Отпуск электрической энергии в сеть с учетом величины сальдо-перетока электроэнергии</t>
  </si>
  <si>
    <t>млн.кВтч.</t>
  </si>
  <si>
    <t xml:space="preserve">Потери электрической энергии </t>
  </si>
  <si>
    <t>3.3.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</si>
  <si>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</si>
  <si>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</si>
  <si>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 ) электрической энергии на ее передачу по сетям</t>
  </si>
  <si>
    <t>руб./МВтч</t>
  </si>
  <si>
    <t>Таблица № П1.27.</t>
  </si>
  <si>
    <t xml:space="preserve">Экономически обоснованные тарифы 
на электрическую энергию (мощность) по группам потребителей </t>
  </si>
  <si>
    <t>в том числе</t>
  </si>
  <si>
    <t>Ед.изм.</t>
  </si>
  <si>
    <t>Объем полезного отпуска</t>
  </si>
  <si>
    <t>Заявленная мощность</t>
  </si>
  <si>
    <t>МВт</t>
  </si>
  <si>
    <t>Тариф на покупку электрической энергии</t>
  </si>
  <si>
    <t>Ставка за мощность</t>
  </si>
  <si>
    <t>руб/МВтмес</t>
  </si>
  <si>
    <t>Ставка за энергию</t>
  </si>
  <si>
    <t xml:space="preserve">Стоимость единицы услуг </t>
  </si>
  <si>
    <t>Плата за услуги по передаче электрической энергии</t>
  </si>
  <si>
    <t>4.1.1.</t>
  </si>
  <si>
    <t>Ставка на содержание электросетей</t>
  </si>
  <si>
    <t>4.1.2.</t>
  </si>
  <si>
    <t>Плата за иные услуги</t>
  </si>
  <si>
    <t>Средний одноставочный тариф 
п.3 + п.4</t>
  </si>
  <si>
    <t>Плата за мощность 
п.3.1.+ п.4.1.1 + п.4.2.</t>
  </si>
  <si>
    <t>руб/МВт/мес</t>
  </si>
  <si>
    <t>Плата за энергию п.3.2. + п.4.1.2.</t>
  </si>
  <si>
    <t>Товарная продукция всего п.5 * п.1</t>
  </si>
  <si>
    <t xml:space="preserve"> -  за электроэнергию (мощность) п.3*п.1</t>
  </si>
  <si>
    <t xml:space="preserve"> - за услуги п.4*п.1</t>
  </si>
  <si>
    <t>То же п.6</t>
  </si>
  <si>
    <t xml:space="preserve"> - за мощность п.5.1*п.2*М</t>
  </si>
  <si>
    <t xml:space="preserve"> - за электрическую энергию п.5.2 * п.1</t>
  </si>
  <si>
    <t>№ п.п.</t>
  </si>
  <si>
    <t>Единица измерения</t>
  </si>
  <si>
    <t>Долгосрочные параметры (не меняются в течение долгосрочного периода регулирования)</t>
  </si>
  <si>
    <t>Индекс эффективности подконтрольных расходов</t>
  </si>
  <si>
    <t>-</t>
  </si>
  <si>
    <t>Коэффициент эластичности подконтрольных расходов по количеству активов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</si>
  <si>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</si>
  <si>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
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</si>
  <si>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</si>
  <si>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</si>
  <si>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</si>
  <si>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</si>
  <si>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Итого коэффициент индексации</t>
  </si>
  <si>
    <t>Расчет подконтрольных расходов</t>
  </si>
  <si>
    <t>Сырье и материалы</t>
  </si>
  <si>
    <t>Расходы на оплату труда</t>
  </si>
  <si>
    <t>Ремонт основных фондов</t>
  </si>
  <si>
    <t>1.3.1.</t>
  </si>
  <si>
    <t>1.3.2.</t>
  </si>
  <si>
    <t>1.3.3.</t>
  </si>
  <si>
    <t>1.4.</t>
  </si>
  <si>
    <t>Цеховые расходы (не учтенные в других статьях прямым путем)</t>
  </si>
  <si>
    <t>1.4.1.</t>
  </si>
  <si>
    <t>1.4.2.</t>
  </si>
  <si>
    <t>1.4.3.</t>
  </si>
  <si>
    <t>1.5.</t>
  </si>
  <si>
    <t>Общехозяйственные расходы (не учтенные в других статьях прямым путем)</t>
  </si>
  <si>
    <t>1.5.1.</t>
  </si>
  <si>
    <t>1.5.2.</t>
  </si>
  <si>
    <t>1.5.3.</t>
  </si>
  <si>
    <t>1.6.</t>
  </si>
  <si>
    <t>Прочие подконтрольные расходы</t>
  </si>
  <si>
    <t>1.6.1.</t>
  </si>
  <si>
    <t>Проценты за кредит</t>
  </si>
  <si>
    <t>1.6.2.</t>
  </si>
  <si>
    <t>Расходы социального характера из прибыли</t>
  </si>
  <si>
    <t>1.6.3.</t>
  </si>
  <si>
    <t>Услуги банка</t>
  </si>
  <si>
    <t>1.6.4.</t>
  </si>
  <si>
    <t>1.6.5.</t>
  </si>
  <si>
    <t>ИТОГО подконтрольные расходы</t>
  </si>
  <si>
    <t>Расчет неподконтрольных расходов</t>
  </si>
  <si>
    <t>Капитальыне вложения из прибыли 
(не более 12% от НВВ)</t>
  </si>
  <si>
    <t>Электроэнергия на хоз. нужды</t>
  </si>
  <si>
    <t>Теплоэнергия</t>
  </si>
  <si>
    <t>Плата за аренду имущества и лизинг</t>
  </si>
  <si>
    <t>Налоги,всего, в том числе:</t>
  </si>
  <si>
    <t>2.6.1.</t>
  </si>
  <si>
    <t>2.6.2.</t>
  </si>
  <si>
    <t>Налог на имущество</t>
  </si>
  <si>
    <t>2.6.3.</t>
  </si>
  <si>
    <t>Прочие налоги и сборы</t>
  </si>
  <si>
    <t>Прочие неподконтрольные расходы</t>
  </si>
  <si>
    <t>Выпадающие доходы по технологическому присоединению</t>
  </si>
  <si>
    <t>ИТОГО неподконтрольных расходов</t>
  </si>
  <si>
    <t>Выпадающие доходы (избыток средств)</t>
  </si>
  <si>
    <t>НВВ всего</t>
  </si>
  <si>
    <t>Расчёт тарифа (платы) 
за услуги по передаче электрической энергии 
по сетям  ОАО "Электротехнический комплекс"
на 2015-2019 годы</t>
  </si>
  <si>
    <t>Отчетный период
2013 год</t>
  </si>
  <si>
    <t>Период регулирования
2015 год</t>
  </si>
  <si>
    <t>на 2015 год</t>
  </si>
  <si>
    <t>Таблица расходов по расчету тарифов ОАО "ЭТК" на услуги по передаче электрической энергии 
на основе долгосрочных параметров регулирования на 2015-2019 гг.</t>
  </si>
  <si>
    <t>Монтаж кабельной эстакады от РП-1 до РП-5 ВОС</t>
  </si>
  <si>
    <t>Блоки РКТ 01 автоматики РПН трансформаторов силовых 110кВ</t>
  </si>
  <si>
    <t>Устройство импульсной ЗОЗЗ ВЛ и КЛ 6-35кВ типа ТОР 110-ИЗН01 1602</t>
  </si>
  <si>
    <t>Прибыль</t>
  </si>
  <si>
    <t>Установка дугогасящих масляных реакторов РРДМР-485/10 У1</t>
  </si>
  <si>
    <t>Амортизация, Прибыль</t>
  </si>
  <si>
    <t>Мероприятия по инвестиционной программе</t>
  </si>
  <si>
    <t>12% =</t>
  </si>
  <si>
    <t>Анализ использования  за 2013 год средств в тарифе ОАО "ЭТК" 
на передачу электрической энергии</t>
  </si>
  <si>
    <t>В тарифе 2013 года</t>
  </si>
  <si>
    <t>Факт ЭТК
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</si>
</sst>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0.000"/>
    <numFmt numFmtId="168" formatCode="0.000%"/>
    <numFmt numFmtId="169" formatCode="#,##0_);[Red]\(#,##0\)"/>
    <numFmt numFmtId="170" formatCode="#,##0.0000"/>
  </numFmts>
  <fonts count="11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20"/>
      <name val="Courier New"/>
      <family val="3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3"/>
      <name val="Times New Roman Cyr"/>
      <family val="0"/>
    </font>
    <font>
      <b/>
      <sz val="13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color indexed="10"/>
      <name val="Times New Roman Cyr"/>
      <family val="1"/>
    </font>
    <font>
      <sz val="12"/>
      <color indexed="12"/>
      <name val="Times New Roman Cyr"/>
      <family val="1"/>
    </font>
    <font>
      <b/>
      <sz val="11"/>
      <name val="Times New Roman Cyr"/>
      <family val="0"/>
    </font>
    <font>
      <b/>
      <sz val="12"/>
      <color indexed="12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Times New Roman Cyr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i/>
      <sz val="10"/>
      <name val="Times New Roman Cyr"/>
      <family val="1"/>
    </font>
    <font>
      <sz val="10"/>
      <color indexed="10"/>
      <name val="Times New Roman Cyr"/>
      <family val="1"/>
    </font>
    <font>
      <sz val="10"/>
      <color indexed="12"/>
      <name val="Times New Roman Cyr"/>
      <family val="1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0"/>
      <color indexed="10"/>
      <name val="Times New Roman Cyr"/>
      <family val="1"/>
    </font>
    <font>
      <sz val="10"/>
      <color indexed="50"/>
      <name val="Times New Roman Cyr"/>
      <family val="1"/>
    </font>
    <font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8"/>
      <name val="Times New Roman Cyr"/>
      <family val="1"/>
    </font>
    <font>
      <sz val="11"/>
      <name val="Times New Roman Cyr"/>
      <family val="0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9"/>
      <color indexed="8"/>
      <name val="Tahoma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56"/>
      <name val="Times New Roman"/>
      <family val="1"/>
    </font>
    <font>
      <sz val="10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Times New Roman"/>
      <family val="1"/>
    </font>
    <font>
      <b/>
      <sz val="12"/>
      <color theme="4"/>
      <name val="Times New Roman"/>
      <family val="1"/>
    </font>
    <font>
      <sz val="12"/>
      <color theme="3"/>
      <name val="Times New Roman"/>
      <family val="1"/>
    </font>
    <font>
      <sz val="10"/>
      <color theme="4"/>
      <name val="Arial Cyr"/>
      <family val="0"/>
    </font>
    <font>
      <sz val="12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 style="medium"/>
      <bottom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60" fillId="25" borderId="0" applyNumberFormat="0" applyBorder="0" applyAlignment="0" applyProtection="0"/>
    <xf numFmtId="0" fontId="6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3" borderId="1" applyNumberFormat="0" applyAlignment="0" applyProtection="0"/>
    <xf numFmtId="0" fontId="63" fillId="26" borderId="2" applyNumberFormat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27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7" borderId="0" applyNumberFormat="0" applyBorder="0" applyAlignment="0" applyProtection="0"/>
    <xf numFmtId="0" fontId="0" fillId="24" borderId="7" applyNumberFormat="0" applyFont="0" applyAlignment="0" applyProtection="0"/>
    <xf numFmtId="0" fontId="72" fillId="33" borderId="8" applyNumberFormat="0" applyAlignment="0" applyProtection="0"/>
    <xf numFmtId="0" fontId="7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1" fillId="44" borderId="10" applyNumberFormat="0" applyAlignment="0" applyProtection="0"/>
    <xf numFmtId="0" fontId="92" fillId="45" borderId="11" applyNumberFormat="0" applyAlignment="0" applyProtection="0"/>
    <xf numFmtId="0" fontId="93" fillId="45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53" fillId="0" borderId="15" applyBorder="0">
      <alignment horizontal="center" vertical="center" wrapText="1"/>
      <protection/>
    </xf>
    <xf numFmtId="4" fontId="57" fillId="46" borderId="16" applyBorder="0">
      <alignment horizontal="right"/>
      <protection/>
    </xf>
    <xf numFmtId="0" fontId="97" fillId="0" borderId="17" applyNumberFormat="0" applyFill="0" applyAlignment="0" applyProtection="0"/>
    <xf numFmtId="0" fontId="98" fillId="47" borderId="18" applyNumberFormat="0" applyAlignment="0" applyProtection="0"/>
    <xf numFmtId="0" fontId="99" fillId="0" borderId="0" applyNumberFormat="0" applyFill="0" applyBorder="0" applyAlignment="0" applyProtection="0"/>
    <xf numFmtId="0" fontId="100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01" fillId="49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2" fillId="0" borderId="16" applyFont="0" applyFill="0" applyBorder="0" applyProtection="0">
      <alignment horizontal="center" vertical="center" wrapText="1"/>
    </xf>
    <xf numFmtId="0" fontId="0" fillId="0" borderId="0">
      <alignment horizontal="justify" vertical="center" wrapText="1"/>
      <protection/>
    </xf>
    <xf numFmtId="0" fontId="2" fillId="0" borderId="16" applyFont="0" applyFill="0" applyBorder="0" applyProtection="0">
      <alignment horizontal="justify" vertical="center" wrapText="1"/>
    </xf>
    <xf numFmtId="0" fontId="102" fillId="0" borderId="0" applyNumberFormat="0" applyFill="0" applyBorder="0" applyAlignment="0" applyProtection="0"/>
    <xf numFmtId="0" fontId="0" fillId="50" borderId="19" applyNumberFormat="0" applyFont="0" applyAlignment="0" applyProtection="0"/>
    <xf numFmtId="9" fontId="0" fillId="0" borderId="0" applyFont="0" applyFill="0" applyBorder="0" applyAlignment="0" applyProtection="0"/>
    <xf numFmtId="0" fontId="103" fillId="0" borderId="20" applyNumberFormat="0" applyFill="0" applyAlignment="0" applyProtection="0"/>
    <xf numFmtId="169" fontId="75" fillId="0" borderId="0">
      <alignment vertical="top"/>
      <protection/>
    </xf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7" fillId="51" borderId="0" applyBorder="0">
      <alignment horizontal="right"/>
      <protection/>
    </xf>
    <xf numFmtId="4" fontId="57" fillId="51" borderId="0" applyBorder="0">
      <alignment horizontal="right"/>
      <protection/>
    </xf>
    <xf numFmtId="0" fontId="105" fillId="52" borderId="0" applyNumberFormat="0" applyBorder="0" applyAlignment="0" applyProtection="0"/>
    <xf numFmtId="166" fontId="0" fillId="0" borderId="0">
      <alignment horizontal="center" vertical="center" wrapText="1"/>
      <protection/>
    </xf>
    <xf numFmtId="166" fontId="0" fillId="0" borderId="16" applyFont="0" applyFill="0" applyBorder="0" applyProtection="0">
      <alignment horizontal="center" vertical="center"/>
    </xf>
    <xf numFmtId="166" fontId="2" fillId="0" borderId="16" applyFont="0" applyFill="0" applyBorder="0" applyProtection="0">
      <alignment horizontal="center" vertical="center"/>
    </xf>
  </cellStyleXfs>
  <cellXfs count="1008">
    <xf numFmtId="0" fontId="0" fillId="0" borderId="0" xfId="0" applyAlignment="1">
      <alignment/>
    </xf>
    <xf numFmtId="0" fontId="0" fillId="0" borderId="0" xfId="101">
      <alignment/>
      <protection/>
    </xf>
    <xf numFmtId="0" fontId="4" fillId="0" borderId="0" xfId="101" applyFont="1">
      <alignment/>
      <protection/>
    </xf>
    <xf numFmtId="0" fontId="5" fillId="0" borderId="0" xfId="98" applyFont="1">
      <alignment/>
      <protection/>
    </xf>
    <xf numFmtId="49" fontId="5" fillId="51" borderId="0" xfId="98" applyNumberFormat="1" applyFont="1" applyFill="1" applyAlignment="1">
      <alignment vertical="center" wrapText="1"/>
      <protection/>
    </xf>
    <xf numFmtId="49" fontId="5" fillId="51" borderId="21" xfId="98" applyNumberFormat="1" applyFont="1" applyFill="1" applyBorder="1" applyAlignment="1">
      <alignment horizontal="center" vertical="center" wrapText="1"/>
      <protection/>
    </xf>
    <xf numFmtId="49" fontId="5" fillId="51" borderId="16" xfId="98" applyNumberFormat="1" applyFont="1" applyFill="1" applyBorder="1" applyAlignment="1">
      <alignment horizontal="center" vertical="center" wrapText="1"/>
      <protection/>
    </xf>
    <xf numFmtId="49" fontId="5" fillId="51" borderId="22" xfId="98" applyNumberFormat="1" applyFont="1" applyFill="1" applyBorder="1" applyAlignment="1">
      <alignment horizontal="center" vertical="center" wrapText="1"/>
      <protection/>
    </xf>
    <xf numFmtId="49" fontId="5" fillId="51" borderId="23" xfId="98" applyNumberFormat="1" applyFont="1" applyFill="1" applyBorder="1" applyAlignment="1">
      <alignment horizontal="center" vertical="center" wrapText="1"/>
      <protection/>
    </xf>
    <xf numFmtId="49" fontId="5" fillId="51" borderId="24" xfId="98" applyNumberFormat="1" applyFont="1" applyFill="1" applyBorder="1" applyAlignment="1">
      <alignment horizontal="center" vertical="center" wrapText="1"/>
      <protection/>
    </xf>
    <xf numFmtId="0" fontId="5" fillId="51" borderId="25" xfId="98" applyFont="1" applyFill="1" applyBorder="1" applyAlignment="1">
      <alignment horizontal="center"/>
      <protection/>
    </xf>
    <xf numFmtId="0" fontId="5" fillId="51" borderId="26" xfId="98" applyFont="1" applyFill="1" applyBorder="1" applyAlignment="1">
      <alignment horizontal="center"/>
      <protection/>
    </xf>
    <xf numFmtId="0" fontId="5" fillId="51" borderId="27" xfId="98" applyFont="1" applyFill="1" applyBorder="1" applyAlignment="1">
      <alignment horizontal="center"/>
      <protection/>
    </xf>
    <xf numFmtId="0" fontId="5" fillId="51" borderId="28" xfId="98" applyFont="1" applyFill="1" applyBorder="1" applyAlignment="1">
      <alignment horizontal="center"/>
      <protection/>
    </xf>
    <xf numFmtId="0" fontId="5" fillId="51" borderId="29" xfId="98" applyFont="1" applyFill="1" applyBorder="1" applyAlignment="1">
      <alignment horizontal="center"/>
      <protection/>
    </xf>
    <xf numFmtId="0" fontId="5" fillId="51" borderId="0" xfId="98" applyFont="1" applyFill="1">
      <alignment/>
      <protection/>
    </xf>
    <xf numFmtId="49" fontId="5" fillId="53" borderId="30" xfId="98" applyNumberFormat="1" applyFont="1" applyFill="1" applyBorder="1" applyAlignment="1">
      <alignment horizontal="center" vertical="top"/>
      <protection/>
    </xf>
    <xf numFmtId="0" fontId="5" fillId="53" borderId="31" xfId="98" applyFont="1" applyFill="1" applyBorder="1" applyAlignment="1">
      <alignment horizontal="left"/>
      <protection/>
    </xf>
    <xf numFmtId="0" fontId="5" fillId="53" borderId="32" xfId="98" applyFont="1" applyFill="1" applyBorder="1" applyAlignment="1">
      <alignment horizontal="left" wrapText="1"/>
      <protection/>
    </xf>
    <xf numFmtId="0" fontId="5" fillId="0" borderId="32" xfId="98" applyFont="1" applyBorder="1" applyAlignment="1">
      <alignment horizontal="left"/>
      <protection/>
    </xf>
    <xf numFmtId="49" fontId="5" fillId="53" borderId="21" xfId="98" applyNumberFormat="1" applyFont="1" applyFill="1" applyBorder="1" applyAlignment="1">
      <alignment horizontal="center"/>
      <protection/>
    </xf>
    <xf numFmtId="0" fontId="5" fillId="53" borderId="24" xfId="98" applyFont="1" applyFill="1" applyBorder="1" applyAlignment="1">
      <alignment horizontal="left"/>
      <protection/>
    </xf>
    <xf numFmtId="0" fontId="5" fillId="53" borderId="33" xfId="98" applyFont="1" applyFill="1" applyBorder="1" applyAlignment="1">
      <alignment horizontal="left" wrapText="1"/>
      <protection/>
    </xf>
    <xf numFmtId="0" fontId="5" fillId="0" borderId="33" xfId="98" applyFont="1" applyBorder="1" applyAlignment="1">
      <alignment horizontal="left"/>
      <protection/>
    </xf>
    <xf numFmtId="49" fontId="5" fillId="53" borderId="21" xfId="98" applyNumberFormat="1" applyFont="1" applyFill="1" applyBorder="1" applyAlignment="1">
      <alignment horizontal="center" vertical="top"/>
      <protection/>
    </xf>
    <xf numFmtId="10" fontId="5" fillId="0" borderId="21" xfId="113" applyNumberFormat="1" applyFont="1" applyBorder="1" applyAlignment="1">
      <alignment horizontal="center"/>
    </xf>
    <xf numFmtId="10" fontId="5" fillId="0" borderId="16" xfId="113" applyNumberFormat="1" applyFont="1" applyBorder="1" applyAlignment="1">
      <alignment horizontal="center"/>
    </xf>
    <xf numFmtId="10" fontId="5" fillId="0" borderId="22" xfId="113" applyNumberFormat="1" applyFont="1" applyBorder="1" applyAlignment="1">
      <alignment horizontal="center"/>
    </xf>
    <xf numFmtId="10" fontId="10" fillId="0" borderId="16" xfId="113" applyNumberFormat="1" applyFont="1" applyBorder="1" applyAlignment="1">
      <alignment horizontal="center"/>
    </xf>
    <xf numFmtId="49" fontId="5" fillId="53" borderId="34" xfId="98" applyNumberFormat="1" applyFont="1" applyFill="1" applyBorder="1" applyAlignment="1">
      <alignment horizontal="center"/>
      <protection/>
    </xf>
    <xf numFmtId="0" fontId="5" fillId="53" borderId="35" xfId="98" applyFont="1" applyFill="1" applyBorder="1">
      <alignment/>
      <protection/>
    </xf>
    <xf numFmtId="0" fontId="5" fillId="53" borderId="36" xfId="98" applyFont="1" applyFill="1" applyBorder="1">
      <alignment/>
      <protection/>
    </xf>
    <xf numFmtId="0" fontId="5" fillId="0" borderId="36" xfId="98" applyFont="1" applyBorder="1">
      <alignment/>
      <protection/>
    </xf>
    <xf numFmtId="49" fontId="5" fillId="53" borderId="30" xfId="98" applyNumberFormat="1" applyFont="1" applyFill="1" applyBorder="1" applyAlignment="1">
      <alignment horizontal="center"/>
      <protection/>
    </xf>
    <xf numFmtId="0" fontId="5" fillId="53" borderId="31" xfId="98" applyFont="1" applyFill="1" applyBorder="1">
      <alignment/>
      <protection/>
    </xf>
    <xf numFmtId="0" fontId="5" fillId="53" borderId="32" xfId="98" applyFont="1" applyFill="1" applyBorder="1" applyAlignment="1">
      <alignment wrapText="1"/>
      <protection/>
    </xf>
    <xf numFmtId="0" fontId="5" fillId="0" borderId="32" xfId="98" applyFont="1" applyBorder="1">
      <alignment/>
      <protection/>
    </xf>
    <xf numFmtId="49" fontId="5" fillId="53" borderId="25" xfId="98" applyNumberFormat="1" applyFont="1" applyFill="1" applyBorder="1" applyAlignment="1">
      <alignment horizontal="center" vertical="top"/>
      <protection/>
    </xf>
    <xf numFmtId="0" fontId="5" fillId="53" borderId="29" xfId="98" applyFont="1" applyFill="1" applyBorder="1" applyAlignment="1">
      <alignment horizontal="left"/>
      <protection/>
    </xf>
    <xf numFmtId="0" fontId="5" fillId="53" borderId="37" xfId="98" applyFont="1" applyFill="1" applyBorder="1" applyAlignment="1">
      <alignment horizontal="left" wrapText="1"/>
      <protection/>
    </xf>
    <xf numFmtId="0" fontId="5" fillId="0" borderId="37" xfId="98" applyFont="1" applyBorder="1" applyAlignment="1">
      <alignment horizontal="left"/>
      <protection/>
    </xf>
    <xf numFmtId="0" fontId="5" fillId="0" borderId="0" xfId="99" applyFont="1">
      <alignment/>
      <protection/>
    </xf>
    <xf numFmtId="0" fontId="7" fillId="0" borderId="0" xfId="98" applyFont="1">
      <alignment/>
      <protection/>
    </xf>
    <xf numFmtId="0" fontId="5" fillId="51" borderId="0" xfId="99" applyFont="1" applyFill="1" applyAlignment="1">
      <alignment vertical="center" wrapText="1"/>
      <protection/>
    </xf>
    <xf numFmtId="0" fontId="5" fillId="51" borderId="21" xfId="99" applyFont="1" applyFill="1" applyBorder="1" applyAlignment="1">
      <alignment horizontal="center" vertical="center" wrapText="1"/>
      <protection/>
    </xf>
    <xf numFmtId="0" fontId="5" fillId="51" borderId="16" xfId="99" applyFont="1" applyFill="1" applyBorder="1" applyAlignment="1">
      <alignment horizontal="center" vertical="center" wrapText="1"/>
      <protection/>
    </xf>
    <xf numFmtId="0" fontId="5" fillId="51" borderId="22" xfId="99" applyFont="1" applyFill="1" applyBorder="1" applyAlignment="1">
      <alignment horizontal="center" vertical="center" wrapText="1"/>
      <protection/>
    </xf>
    <xf numFmtId="0" fontId="5" fillId="51" borderId="23" xfId="99" applyFont="1" applyFill="1" applyBorder="1" applyAlignment="1">
      <alignment horizontal="center" vertical="center" wrapText="1"/>
      <protection/>
    </xf>
    <xf numFmtId="0" fontId="5" fillId="51" borderId="24" xfId="99" applyFont="1" applyFill="1" applyBorder="1" applyAlignment="1">
      <alignment horizontal="center" vertical="center" wrapText="1"/>
      <protection/>
    </xf>
    <xf numFmtId="0" fontId="5" fillId="51" borderId="25" xfId="99" applyFont="1" applyFill="1" applyBorder="1" applyAlignment="1">
      <alignment horizontal="center" wrapText="1"/>
      <protection/>
    </xf>
    <xf numFmtId="0" fontId="5" fillId="51" borderId="26" xfId="99" applyFont="1" applyFill="1" applyBorder="1" applyAlignment="1">
      <alignment horizontal="center" wrapText="1"/>
      <protection/>
    </xf>
    <xf numFmtId="0" fontId="5" fillId="51" borderId="27" xfId="99" applyFont="1" applyFill="1" applyBorder="1" applyAlignment="1">
      <alignment horizontal="center" wrapText="1"/>
      <protection/>
    </xf>
    <xf numFmtId="0" fontId="5" fillId="51" borderId="28" xfId="99" applyFont="1" applyFill="1" applyBorder="1" applyAlignment="1">
      <alignment horizontal="center" wrapText="1"/>
      <protection/>
    </xf>
    <xf numFmtId="0" fontId="5" fillId="51" borderId="29" xfId="99" applyFont="1" applyFill="1" applyBorder="1" applyAlignment="1">
      <alignment horizontal="center" wrapText="1"/>
      <protection/>
    </xf>
    <xf numFmtId="0" fontId="5" fillId="51" borderId="0" xfId="99" applyFont="1" applyFill="1" applyAlignment="1">
      <alignment wrapText="1"/>
      <protection/>
    </xf>
    <xf numFmtId="49" fontId="5" fillId="53" borderId="30" xfId="99" applyNumberFormat="1" applyFont="1" applyFill="1" applyBorder="1" applyAlignment="1">
      <alignment horizontal="center" vertical="top"/>
      <protection/>
    </xf>
    <xf numFmtId="0" fontId="5" fillId="53" borderId="31" xfId="99" applyFont="1" applyFill="1" applyBorder="1" applyAlignment="1">
      <alignment horizontal="left"/>
      <protection/>
    </xf>
    <xf numFmtId="0" fontId="5" fillId="53" borderId="32" xfId="99" applyFont="1" applyFill="1" applyBorder="1" applyAlignment="1">
      <alignment horizontal="left" wrapText="1"/>
      <protection/>
    </xf>
    <xf numFmtId="0" fontId="5" fillId="0" borderId="32" xfId="99" applyFont="1" applyBorder="1" applyAlignment="1">
      <alignment horizontal="left"/>
      <protection/>
    </xf>
    <xf numFmtId="49" fontId="5" fillId="53" borderId="21" xfId="99" applyNumberFormat="1" applyFont="1" applyFill="1" applyBorder="1" applyAlignment="1">
      <alignment horizontal="center"/>
      <protection/>
    </xf>
    <xf numFmtId="0" fontId="5" fillId="53" borderId="24" xfId="99" applyFont="1" applyFill="1" applyBorder="1" applyAlignment="1">
      <alignment horizontal="left"/>
      <protection/>
    </xf>
    <xf numFmtId="0" fontId="5" fillId="53" borderId="33" xfId="99" applyFont="1" applyFill="1" applyBorder="1" applyAlignment="1">
      <alignment horizontal="left" wrapText="1"/>
      <protection/>
    </xf>
    <xf numFmtId="0" fontId="5" fillId="0" borderId="33" xfId="99" applyFont="1" applyBorder="1" applyAlignment="1">
      <alignment horizontal="left"/>
      <protection/>
    </xf>
    <xf numFmtId="164" fontId="5" fillId="0" borderId="0" xfId="99" applyNumberFormat="1" applyFont="1">
      <alignment/>
      <protection/>
    </xf>
    <xf numFmtId="49" fontId="5" fillId="53" borderId="21" xfId="99" applyNumberFormat="1" applyFont="1" applyFill="1" applyBorder="1" applyAlignment="1">
      <alignment horizontal="center" vertical="top"/>
      <protection/>
    </xf>
    <xf numFmtId="3" fontId="5" fillId="0" borderId="0" xfId="99" applyNumberFormat="1" applyFont="1">
      <alignment/>
      <protection/>
    </xf>
    <xf numFmtId="0" fontId="5" fillId="53" borderId="33" xfId="99" applyFont="1" applyFill="1" applyBorder="1" applyAlignment="1">
      <alignment horizontal="left" vertical="top" wrapText="1"/>
      <protection/>
    </xf>
    <xf numFmtId="49" fontId="5" fillId="53" borderId="25" xfId="99" applyNumberFormat="1" applyFont="1" applyFill="1" applyBorder="1" applyAlignment="1">
      <alignment horizontal="center" vertical="top"/>
      <protection/>
    </xf>
    <xf numFmtId="0" fontId="5" fillId="53" borderId="29" xfId="99" applyFont="1" applyFill="1" applyBorder="1" applyAlignment="1">
      <alignment horizontal="left"/>
      <protection/>
    </xf>
    <xf numFmtId="0" fontId="5" fillId="53" borderId="37" xfId="99" applyFont="1" applyFill="1" applyBorder="1" applyAlignment="1">
      <alignment horizontal="left" wrapText="1"/>
      <protection/>
    </xf>
    <xf numFmtId="0" fontId="5" fillId="0" borderId="37" xfId="99" applyFont="1" applyBorder="1" applyAlignment="1">
      <alignment horizontal="left"/>
      <protection/>
    </xf>
    <xf numFmtId="3" fontId="14" fillId="0" borderId="16" xfId="99" applyNumberFormat="1" applyFont="1" applyBorder="1" applyAlignment="1">
      <alignment horizontal="center"/>
      <protection/>
    </xf>
    <xf numFmtId="0" fontId="14" fillId="0" borderId="16" xfId="99" applyFont="1" applyBorder="1" applyAlignment="1">
      <alignment horizontal="center"/>
      <protection/>
    </xf>
    <xf numFmtId="0" fontId="2" fillId="0" borderId="0" xfId="102" applyFill="1">
      <alignment/>
      <protection/>
    </xf>
    <xf numFmtId="0" fontId="2" fillId="51" borderId="0" xfId="102" applyFill="1">
      <alignment/>
      <protection/>
    </xf>
    <xf numFmtId="0" fontId="2" fillId="51" borderId="21" xfId="105" applyFont="1" applyFill="1" applyBorder="1" applyAlignment="1">
      <alignment horizontal="center" vertical="center" wrapText="1"/>
      <protection/>
    </xf>
    <xf numFmtId="0" fontId="2" fillId="51" borderId="16" xfId="105" applyFont="1" applyFill="1" applyBorder="1" applyAlignment="1">
      <alignment horizontal="center" vertical="center" wrapText="1"/>
      <protection/>
    </xf>
    <xf numFmtId="0" fontId="2" fillId="51" borderId="22" xfId="105" applyFont="1" applyFill="1" applyBorder="1" applyAlignment="1">
      <alignment horizontal="center" vertical="center" wrapText="1"/>
      <protection/>
    </xf>
    <xf numFmtId="0" fontId="2" fillId="51" borderId="23" xfId="105" applyFont="1" applyFill="1" applyBorder="1" applyAlignment="1">
      <alignment horizontal="center" vertical="center" wrapText="1"/>
      <protection/>
    </xf>
    <xf numFmtId="0" fontId="2" fillId="0" borderId="25" xfId="105" applyFont="1" applyFill="1" applyBorder="1" applyAlignment="1">
      <alignment horizontal="center" vertical="center" wrapText="1"/>
      <protection/>
    </xf>
    <xf numFmtId="0" fontId="2" fillId="0" borderId="29" xfId="105" applyFont="1" applyFill="1" applyBorder="1" applyAlignment="1">
      <alignment horizontal="center" vertical="center" wrapText="1"/>
      <protection/>
    </xf>
    <xf numFmtId="0" fontId="2" fillId="0" borderId="26" xfId="105" applyFont="1" applyFill="1" applyBorder="1" applyAlignment="1">
      <alignment horizontal="center" vertical="center" wrapText="1"/>
      <protection/>
    </xf>
    <xf numFmtId="0" fontId="2" fillId="0" borderId="27" xfId="105" applyFont="1" applyFill="1" applyBorder="1" applyAlignment="1">
      <alignment horizontal="center" vertical="center" wrapText="1"/>
      <protection/>
    </xf>
    <xf numFmtId="0" fontId="2" fillId="0" borderId="38" xfId="105" applyFont="1" applyFill="1" applyBorder="1" applyAlignment="1">
      <alignment horizontal="center" vertical="center" wrapText="1"/>
      <protection/>
    </xf>
    <xf numFmtId="0" fontId="2" fillId="0" borderId="28" xfId="105" applyFont="1" applyFill="1" applyBorder="1" applyAlignment="1">
      <alignment horizontal="center" vertical="center" wrapText="1"/>
      <protection/>
    </xf>
    <xf numFmtId="0" fontId="2" fillId="53" borderId="21" xfId="105" applyFont="1" applyFill="1" applyBorder="1" applyAlignment="1">
      <alignment horizontal="center" vertical="center" wrapText="1"/>
      <protection/>
    </xf>
    <xf numFmtId="0" fontId="18" fillId="53" borderId="16" xfId="105" applyFont="1" applyFill="1" applyBorder="1" applyAlignment="1">
      <alignment horizontal="justify" vertical="center" wrapText="1"/>
      <protection/>
    </xf>
    <xf numFmtId="166" fontId="2" fillId="0" borderId="16" xfId="102" applyNumberFormat="1" applyFill="1" applyBorder="1" applyAlignment="1">
      <alignment horizontal="center" vertical="center"/>
      <protection/>
    </xf>
    <xf numFmtId="9" fontId="2" fillId="0" borderId="16" xfId="113" applyFont="1" applyFill="1" applyBorder="1" applyAlignment="1">
      <alignment horizontal="center" vertical="center"/>
    </xf>
    <xf numFmtId="9" fontId="2" fillId="0" borderId="22" xfId="113" applyFont="1" applyFill="1" applyBorder="1" applyAlignment="1">
      <alignment horizontal="center" vertical="center"/>
    </xf>
    <xf numFmtId="166" fontId="2" fillId="0" borderId="16" xfId="113" applyNumberFormat="1" applyFont="1" applyFill="1" applyBorder="1" applyAlignment="1">
      <alignment horizontal="center" vertical="center"/>
    </xf>
    <xf numFmtId="166" fontId="2" fillId="0" borderId="22" xfId="113" applyNumberFormat="1" applyFont="1" applyFill="1" applyBorder="1" applyAlignment="1">
      <alignment horizontal="center" vertical="center"/>
    </xf>
    <xf numFmtId="166" fontId="2" fillId="0" borderId="16" xfId="102" applyNumberFormat="1" applyBorder="1" applyAlignment="1">
      <alignment horizontal="center" vertical="center"/>
      <protection/>
    </xf>
    <xf numFmtId="0" fontId="2" fillId="53" borderId="34" xfId="105" applyFont="1" applyFill="1" applyBorder="1" applyAlignment="1">
      <alignment horizontal="center" vertical="center" wrapText="1"/>
      <protection/>
    </xf>
    <xf numFmtId="0" fontId="18" fillId="53" borderId="39" xfId="105" applyFont="1" applyFill="1" applyBorder="1" applyAlignment="1">
      <alignment horizontal="justify" vertical="center" wrapText="1"/>
      <protection/>
    </xf>
    <xf numFmtId="166" fontId="2" fillId="0" borderId="39" xfId="102" applyNumberFormat="1" applyBorder="1" applyAlignment="1">
      <alignment horizontal="center" vertical="center"/>
      <protection/>
    </xf>
    <xf numFmtId="166" fontId="2" fillId="0" borderId="39" xfId="102" applyNumberFormat="1" applyFill="1" applyBorder="1" applyAlignment="1">
      <alignment horizontal="center" vertical="center"/>
      <protection/>
    </xf>
    <xf numFmtId="166" fontId="2" fillId="0" borderId="39" xfId="113" applyNumberFormat="1" applyFont="1" applyFill="1" applyBorder="1" applyAlignment="1">
      <alignment horizontal="center" vertical="center"/>
    </xf>
    <xf numFmtId="166" fontId="2" fillId="0" borderId="40" xfId="113" applyNumberFormat="1" applyFont="1" applyFill="1" applyBorder="1" applyAlignment="1">
      <alignment horizontal="center" vertical="center"/>
    </xf>
    <xf numFmtId="0" fontId="2" fillId="53" borderId="30" xfId="105" applyFont="1" applyFill="1" applyBorder="1" applyAlignment="1">
      <alignment horizontal="center" vertical="center" wrapText="1"/>
      <protection/>
    </xf>
    <xf numFmtId="0" fontId="18" fillId="53" borderId="31" xfId="105" applyFont="1" applyFill="1" applyBorder="1" applyAlignment="1">
      <alignment horizontal="justify" vertical="center" wrapText="1"/>
      <protection/>
    </xf>
    <xf numFmtId="166" fontId="2" fillId="0" borderId="41" xfId="102" applyNumberFormat="1" applyFont="1" applyFill="1" applyBorder="1" applyAlignment="1">
      <alignment horizontal="center" vertical="center"/>
      <protection/>
    </xf>
    <xf numFmtId="166" fontId="2" fillId="0" borderId="42" xfId="102" applyNumberFormat="1" applyFont="1" applyFill="1" applyBorder="1" applyAlignment="1">
      <alignment horizontal="center" vertical="center"/>
      <protection/>
    </xf>
    <xf numFmtId="166" fontId="2" fillId="0" borderId="43" xfId="102" applyNumberFormat="1" applyFont="1" applyFill="1" applyBorder="1" applyAlignment="1">
      <alignment horizontal="center" vertical="center"/>
      <protection/>
    </xf>
    <xf numFmtId="166" fontId="2" fillId="0" borderId="44" xfId="102" applyNumberFormat="1" applyFont="1" applyFill="1" applyBorder="1" applyAlignment="1">
      <alignment horizontal="center" vertical="center"/>
      <protection/>
    </xf>
    <xf numFmtId="166" fontId="2" fillId="0" borderId="45" xfId="102" applyNumberFormat="1" applyFont="1" applyFill="1" applyBorder="1" applyAlignment="1">
      <alignment horizontal="center" vertical="center"/>
      <protection/>
    </xf>
    <xf numFmtId="166" fontId="2" fillId="0" borderId="31" xfId="102" applyNumberFormat="1" applyFont="1" applyFill="1" applyBorder="1" applyAlignment="1">
      <alignment horizontal="center" vertical="center"/>
      <protection/>
    </xf>
    <xf numFmtId="166" fontId="2" fillId="0" borderId="46" xfId="102" applyNumberFormat="1" applyFont="1" applyFill="1" applyBorder="1" applyAlignment="1">
      <alignment horizontal="center" vertical="center"/>
      <protection/>
    </xf>
    <xf numFmtId="9" fontId="2" fillId="0" borderId="44" xfId="113" applyFont="1" applyFill="1" applyBorder="1" applyAlignment="1">
      <alignment horizontal="center" vertical="center"/>
    </xf>
    <xf numFmtId="9" fontId="2" fillId="0" borderId="45" xfId="113" applyFont="1" applyFill="1" applyBorder="1" applyAlignment="1">
      <alignment horizontal="center" vertical="center"/>
    </xf>
    <xf numFmtId="9" fontId="2" fillId="0" borderId="47" xfId="113" applyFont="1" applyFill="1" applyBorder="1" applyAlignment="1">
      <alignment horizontal="center" vertical="center"/>
    </xf>
    <xf numFmtId="0" fontId="18" fillId="53" borderId="24" xfId="105" applyFont="1" applyFill="1" applyBorder="1" applyAlignment="1">
      <alignment horizontal="justify" vertical="center" wrapText="1"/>
      <protection/>
    </xf>
    <xf numFmtId="166" fontId="2" fillId="0" borderId="21" xfId="102" applyNumberFormat="1" applyFont="1" applyFill="1" applyBorder="1" applyAlignment="1">
      <alignment horizontal="center" vertical="center"/>
      <protection/>
    </xf>
    <xf numFmtId="166" fontId="2" fillId="0" borderId="16" xfId="102" applyNumberFormat="1" applyFont="1" applyFill="1" applyBorder="1" applyAlignment="1">
      <alignment horizontal="center" vertical="center"/>
      <protection/>
    </xf>
    <xf numFmtId="166" fontId="2" fillId="0" borderId="22" xfId="102" applyNumberFormat="1" applyFont="1" applyFill="1" applyBorder="1" applyAlignment="1">
      <alignment horizontal="center" vertical="center"/>
      <protection/>
    </xf>
    <xf numFmtId="166" fontId="2" fillId="0" borderId="23" xfId="102" applyNumberFormat="1" applyFont="1" applyFill="1" applyBorder="1" applyAlignment="1">
      <alignment horizontal="center" vertical="center"/>
      <protection/>
    </xf>
    <xf numFmtId="166" fontId="2" fillId="0" borderId="24" xfId="102" applyNumberFormat="1" applyFont="1" applyFill="1" applyBorder="1" applyAlignment="1">
      <alignment horizontal="center" vertical="center"/>
      <protection/>
    </xf>
    <xf numFmtId="166" fontId="2" fillId="0" borderId="48" xfId="102" applyNumberFormat="1" applyFont="1" applyFill="1" applyBorder="1" applyAlignment="1">
      <alignment horizontal="center" vertical="center"/>
      <protection/>
    </xf>
    <xf numFmtId="9" fontId="2" fillId="0" borderId="23" xfId="113" applyFont="1" applyFill="1" applyBorder="1" applyAlignment="1">
      <alignment horizontal="center" vertical="center"/>
    </xf>
    <xf numFmtId="9" fontId="2" fillId="0" borderId="16" xfId="113" applyFont="1" applyFill="1" applyBorder="1" applyAlignment="1">
      <alignment horizontal="center" vertical="center"/>
    </xf>
    <xf numFmtId="9" fontId="2" fillId="0" borderId="22" xfId="113" applyFont="1" applyFill="1" applyBorder="1" applyAlignment="1">
      <alignment horizontal="center" vertical="center"/>
    </xf>
    <xf numFmtId="166" fontId="2" fillId="0" borderId="21" xfId="102" applyNumberFormat="1" applyFont="1" applyBorder="1" applyAlignment="1">
      <alignment horizontal="center" vertical="center"/>
      <protection/>
    </xf>
    <xf numFmtId="166" fontId="2" fillId="0" borderId="23" xfId="102" applyNumberFormat="1" applyFont="1" applyBorder="1" applyAlignment="1">
      <alignment horizontal="center" vertical="center"/>
      <protection/>
    </xf>
    <xf numFmtId="3" fontId="2" fillId="0" borderId="48" xfId="102" applyNumberFormat="1" applyFont="1" applyFill="1" applyBorder="1" applyAlignment="1">
      <alignment horizontal="center" vertical="center"/>
      <protection/>
    </xf>
    <xf numFmtId="166" fontId="2" fillId="0" borderId="23" xfId="113" applyNumberFormat="1" applyFont="1" applyFill="1" applyBorder="1" applyAlignment="1">
      <alignment horizontal="center" vertical="center"/>
    </xf>
    <xf numFmtId="166" fontId="2" fillId="0" borderId="16" xfId="113" applyNumberFormat="1" applyFont="1" applyFill="1" applyBorder="1" applyAlignment="1">
      <alignment horizontal="center" vertical="center"/>
    </xf>
    <xf numFmtId="166" fontId="2" fillId="0" borderId="22" xfId="113" applyNumberFormat="1" applyFont="1" applyFill="1" applyBorder="1" applyAlignment="1">
      <alignment horizontal="center" vertical="center"/>
    </xf>
    <xf numFmtId="0" fontId="2" fillId="53" borderId="25" xfId="105" applyFont="1" applyFill="1" applyBorder="1" applyAlignment="1">
      <alignment horizontal="center" vertical="center" wrapText="1"/>
      <protection/>
    </xf>
    <xf numFmtId="0" fontId="18" fillId="53" borderId="29" xfId="105" applyFont="1" applyFill="1" applyBorder="1" applyAlignment="1">
      <alignment horizontal="justify" vertical="center" wrapText="1"/>
      <protection/>
    </xf>
    <xf numFmtId="166" fontId="2" fillId="0" borderId="25" xfId="102" applyNumberFormat="1" applyFont="1" applyBorder="1" applyAlignment="1">
      <alignment horizontal="center" vertical="center"/>
      <protection/>
    </xf>
    <xf numFmtId="166" fontId="2" fillId="0" borderId="26" xfId="102" applyNumberFormat="1" applyFont="1" applyFill="1" applyBorder="1" applyAlignment="1">
      <alignment horizontal="center" vertical="center"/>
      <protection/>
    </xf>
    <xf numFmtId="166" fontId="2" fillId="0" borderId="26" xfId="102" applyNumberFormat="1" applyFont="1" applyBorder="1" applyAlignment="1">
      <alignment horizontal="center" vertical="center"/>
      <protection/>
    </xf>
    <xf numFmtId="166" fontId="2" fillId="0" borderId="27" xfId="102" applyNumberFormat="1" applyFont="1" applyBorder="1" applyAlignment="1">
      <alignment horizontal="center" vertical="center"/>
      <protection/>
    </xf>
    <xf numFmtId="166" fontId="2" fillId="0" borderId="28" xfId="102" applyNumberFormat="1" applyFont="1" applyBorder="1" applyAlignment="1">
      <alignment horizontal="center" vertical="center"/>
      <protection/>
    </xf>
    <xf numFmtId="166" fontId="2" fillId="0" borderId="29" xfId="102" applyNumberFormat="1" applyFont="1" applyBorder="1" applyAlignment="1">
      <alignment horizontal="center" vertical="center"/>
      <protection/>
    </xf>
    <xf numFmtId="3" fontId="2" fillId="0" borderId="38" xfId="102" applyNumberFormat="1" applyFont="1" applyFill="1" applyBorder="1" applyAlignment="1">
      <alignment horizontal="center" vertical="center"/>
      <protection/>
    </xf>
    <xf numFmtId="166" fontId="2" fillId="0" borderId="28" xfId="113" applyNumberFormat="1" applyFont="1" applyFill="1" applyBorder="1" applyAlignment="1">
      <alignment horizontal="center" vertical="center"/>
    </xf>
    <xf numFmtId="166" fontId="2" fillId="0" borderId="26" xfId="113" applyNumberFormat="1" applyFont="1" applyFill="1" applyBorder="1" applyAlignment="1">
      <alignment horizontal="center" vertical="center"/>
    </xf>
    <xf numFmtId="166" fontId="2" fillId="0" borderId="27" xfId="113" applyNumberFormat="1" applyFont="1" applyFill="1" applyBorder="1" applyAlignment="1">
      <alignment horizontal="center" vertical="center"/>
    </xf>
    <xf numFmtId="166" fontId="2" fillId="0" borderId="41" xfId="102" applyNumberFormat="1" applyFont="1" applyBorder="1" applyAlignment="1">
      <alignment horizontal="center" vertical="center"/>
      <protection/>
    </xf>
    <xf numFmtId="166" fontId="2" fillId="0" borderId="42" xfId="102" applyNumberFormat="1" applyFont="1" applyBorder="1" applyAlignment="1">
      <alignment horizontal="center" vertical="center"/>
      <protection/>
    </xf>
    <xf numFmtId="166" fontId="2" fillId="0" borderId="43" xfId="102" applyNumberFormat="1" applyFont="1" applyBorder="1" applyAlignment="1">
      <alignment horizontal="center" vertical="center"/>
      <protection/>
    </xf>
    <xf numFmtId="166" fontId="2" fillId="0" borderId="44" xfId="102" applyNumberFormat="1" applyFont="1" applyBorder="1" applyAlignment="1">
      <alignment horizontal="center" vertical="center"/>
      <protection/>
    </xf>
    <xf numFmtId="166" fontId="2" fillId="0" borderId="45" xfId="102" applyNumberFormat="1" applyFont="1" applyBorder="1" applyAlignment="1">
      <alignment horizontal="center" vertical="center"/>
      <protection/>
    </xf>
    <xf numFmtId="166" fontId="2" fillId="0" borderId="31" xfId="102" applyNumberFormat="1" applyFont="1" applyBorder="1" applyAlignment="1">
      <alignment horizontal="center" vertical="center"/>
      <protection/>
    </xf>
    <xf numFmtId="166" fontId="2" fillId="0" borderId="44" xfId="113" applyNumberFormat="1" applyFont="1" applyFill="1" applyBorder="1" applyAlignment="1">
      <alignment horizontal="center" vertical="center"/>
    </xf>
    <xf numFmtId="166" fontId="2" fillId="0" borderId="45" xfId="113" applyNumberFormat="1" applyFont="1" applyFill="1" applyBorder="1" applyAlignment="1">
      <alignment horizontal="center" vertical="center"/>
    </xf>
    <xf numFmtId="166" fontId="2" fillId="0" borderId="47" xfId="113" applyNumberFormat="1" applyFont="1" applyFill="1" applyBorder="1" applyAlignment="1">
      <alignment horizontal="center" vertical="center"/>
    </xf>
    <xf numFmtId="166" fontId="2" fillId="0" borderId="16" xfId="102" applyNumberFormat="1" applyFont="1" applyBorder="1" applyAlignment="1">
      <alignment horizontal="center" vertical="center"/>
      <protection/>
    </xf>
    <xf numFmtId="166" fontId="2" fillId="0" borderId="22" xfId="102" applyNumberFormat="1" applyFont="1" applyBorder="1" applyAlignment="1">
      <alignment horizontal="center" vertical="center"/>
      <protection/>
    </xf>
    <xf numFmtId="166" fontId="2" fillId="0" borderId="24" xfId="102" applyNumberFormat="1" applyFont="1" applyBorder="1" applyAlignment="1">
      <alignment horizontal="center" vertical="center"/>
      <protection/>
    </xf>
    <xf numFmtId="166" fontId="2" fillId="0" borderId="0" xfId="102" applyNumberFormat="1" applyFill="1" applyBorder="1" applyAlignment="1">
      <alignment horizontal="center" vertical="center"/>
      <protection/>
    </xf>
    <xf numFmtId="166" fontId="2" fillId="0" borderId="0" xfId="113" applyNumberFormat="1" applyFont="1" applyFill="1" applyBorder="1" applyAlignment="1">
      <alignment horizontal="center" vertical="center"/>
    </xf>
    <xf numFmtId="9" fontId="2" fillId="0" borderId="0" xfId="113" applyFont="1" applyFill="1" applyAlignment="1">
      <alignment/>
    </xf>
    <xf numFmtId="0" fontId="2" fillId="0" borderId="0" xfId="105" applyFont="1">
      <alignment/>
      <protection/>
    </xf>
    <xf numFmtId="0" fontId="19" fillId="0" borderId="0" xfId="105" applyFont="1">
      <alignment/>
      <protection/>
    </xf>
    <xf numFmtId="0" fontId="20" fillId="0" borderId="0" xfId="105" applyFont="1" applyAlignment="1">
      <alignment horizontal="center"/>
      <protection/>
    </xf>
    <xf numFmtId="0" fontId="2" fillId="0" borderId="0" xfId="105" applyFont="1" applyAlignment="1">
      <alignment horizontal="right"/>
      <protection/>
    </xf>
    <xf numFmtId="0" fontId="7" fillId="51" borderId="25" xfId="105" applyFont="1" applyFill="1" applyBorder="1" applyAlignment="1">
      <alignment horizontal="center"/>
      <protection/>
    </xf>
    <xf numFmtId="0" fontId="7" fillId="51" borderId="29" xfId="105" applyFont="1" applyFill="1" applyBorder="1" applyAlignment="1">
      <alignment horizontal="center"/>
      <protection/>
    </xf>
    <xf numFmtId="0" fontId="7" fillId="51" borderId="26" xfId="105" applyFont="1" applyFill="1" applyBorder="1" applyAlignment="1">
      <alignment horizontal="center"/>
      <protection/>
    </xf>
    <xf numFmtId="0" fontId="7" fillId="51" borderId="27" xfId="105" applyFont="1" applyFill="1" applyBorder="1" applyAlignment="1">
      <alignment horizontal="center"/>
      <protection/>
    </xf>
    <xf numFmtId="0" fontId="2" fillId="53" borderId="30" xfId="105" applyFont="1" applyFill="1" applyBorder="1" applyAlignment="1">
      <alignment horizontal="center" vertical="top"/>
      <protection/>
    </xf>
    <xf numFmtId="0" fontId="18" fillId="53" borderId="31" xfId="105" applyFont="1" applyFill="1" applyBorder="1">
      <alignment/>
      <protection/>
    </xf>
    <xf numFmtId="4" fontId="19" fillId="0" borderId="30" xfId="105" applyNumberFormat="1" applyFont="1" applyBorder="1">
      <alignment/>
      <protection/>
    </xf>
    <xf numFmtId="4" fontId="23" fillId="0" borderId="45" xfId="105" applyNumberFormat="1" applyFont="1" applyBorder="1">
      <alignment/>
      <protection/>
    </xf>
    <xf numFmtId="4" fontId="23" fillId="0" borderId="47" xfId="105" applyNumberFormat="1" applyFont="1" applyBorder="1">
      <alignment/>
      <protection/>
    </xf>
    <xf numFmtId="0" fontId="2" fillId="53" borderId="21" xfId="105" applyFont="1" applyFill="1" applyBorder="1" applyAlignment="1">
      <alignment horizontal="center" vertical="top"/>
      <protection/>
    </xf>
    <xf numFmtId="0" fontId="18" fillId="53" borderId="24" xfId="105" applyFont="1" applyFill="1" applyBorder="1">
      <alignment/>
      <protection/>
    </xf>
    <xf numFmtId="4" fontId="19" fillId="0" borderId="21" xfId="105" applyNumberFormat="1" applyFont="1" applyBorder="1">
      <alignment/>
      <protection/>
    </xf>
    <xf numFmtId="4" fontId="23" fillId="0" borderId="16" xfId="105" applyNumberFormat="1" applyFont="1" applyBorder="1">
      <alignment/>
      <protection/>
    </xf>
    <xf numFmtId="4" fontId="24" fillId="0" borderId="22" xfId="105" applyNumberFormat="1" applyFont="1" applyBorder="1">
      <alignment/>
      <protection/>
    </xf>
    <xf numFmtId="0" fontId="18" fillId="53" borderId="24" xfId="105" applyFont="1" applyFill="1" applyBorder="1" applyAlignment="1">
      <alignment horizontal="left" indent="1"/>
      <protection/>
    </xf>
    <xf numFmtId="4" fontId="24" fillId="0" borderId="21" xfId="105" applyNumberFormat="1" applyFont="1" applyBorder="1">
      <alignment/>
      <protection/>
    </xf>
    <xf numFmtId="4" fontId="24" fillId="0" borderId="16" xfId="105" applyNumberFormat="1" applyFont="1" applyBorder="1">
      <alignment/>
      <protection/>
    </xf>
    <xf numFmtId="0" fontId="18" fillId="53" borderId="24" xfId="105" applyFont="1" applyFill="1" applyBorder="1" applyAlignment="1">
      <alignment wrapText="1"/>
      <protection/>
    </xf>
    <xf numFmtId="0" fontId="18" fillId="53" borderId="24" xfId="105" applyFont="1" applyFill="1" applyBorder="1" applyAlignment="1">
      <alignment horizontal="left" vertical="top" wrapText="1" indent="1"/>
      <protection/>
    </xf>
    <xf numFmtId="0" fontId="18" fillId="53" borderId="24" xfId="105" applyFont="1" applyFill="1" applyBorder="1" applyAlignment="1">
      <alignment horizontal="left" wrapText="1" indent="1"/>
      <protection/>
    </xf>
    <xf numFmtId="4" fontId="2" fillId="0" borderId="0" xfId="105" applyNumberFormat="1" applyFont="1">
      <alignment/>
      <protection/>
    </xf>
    <xf numFmtId="0" fontId="18" fillId="53" borderId="24" xfId="105" applyFont="1" applyFill="1" applyBorder="1" applyAlignment="1">
      <alignment horizontal="left" indent="2"/>
      <protection/>
    </xf>
    <xf numFmtId="0" fontId="17" fillId="53" borderId="21" xfId="105" applyFont="1" applyFill="1" applyBorder="1" applyAlignment="1">
      <alignment horizontal="center" vertical="top"/>
      <protection/>
    </xf>
    <xf numFmtId="0" fontId="25" fillId="53" borderId="24" xfId="105" applyFont="1" applyFill="1" applyBorder="1">
      <alignment/>
      <protection/>
    </xf>
    <xf numFmtId="4" fontId="26" fillId="0" borderId="21" xfId="105" applyNumberFormat="1" applyFont="1" applyBorder="1">
      <alignment/>
      <protection/>
    </xf>
    <xf numFmtId="4" fontId="26" fillId="0" borderId="16" xfId="105" applyNumberFormat="1" applyFont="1" applyBorder="1">
      <alignment/>
      <protection/>
    </xf>
    <xf numFmtId="4" fontId="26" fillId="0" borderId="22" xfId="105" applyNumberFormat="1" applyFont="1" applyBorder="1">
      <alignment/>
      <protection/>
    </xf>
    <xf numFmtId="4" fontId="17" fillId="0" borderId="0" xfId="105" applyNumberFormat="1" applyFont="1">
      <alignment/>
      <protection/>
    </xf>
    <xf numFmtId="0" fontId="17" fillId="0" borderId="0" xfId="105" applyFont="1">
      <alignment/>
      <protection/>
    </xf>
    <xf numFmtId="16" fontId="2" fillId="53" borderId="21" xfId="105" applyNumberFormat="1" applyFont="1" applyFill="1" applyBorder="1" applyAlignment="1">
      <alignment horizontal="center" vertical="top"/>
      <protection/>
    </xf>
    <xf numFmtId="4" fontId="23" fillId="0" borderId="22" xfId="105" applyNumberFormat="1" applyFont="1" applyBorder="1">
      <alignment/>
      <protection/>
    </xf>
    <xf numFmtId="4" fontId="19" fillId="0" borderId="16" xfId="105" applyNumberFormat="1" applyFont="1" applyBorder="1">
      <alignment/>
      <protection/>
    </xf>
    <xf numFmtId="4" fontId="19" fillId="0" borderId="22" xfId="105" applyNumberFormat="1" applyFont="1" applyBorder="1">
      <alignment/>
      <protection/>
    </xf>
    <xf numFmtId="0" fontId="2" fillId="53" borderId="25" xfId="105" applyFont="1" applyFill="1" applyBorder="1" applyAlignment="1">
      <alignment horizontal="center" vertical="top"/>
      <protection/>
    </xf>
    <xf numFmtId="0" fontId="18" fillId="53" borderId="29" xfId="105" applyFont="1" applyFill="1" applyBorder="1">
      <alignment/>
      <protection/>
    </xf>
    <xf numFmtId="4" fontId="24" fillId="0" borderId="25" xfId="105" applyNumberFormat="1" applyFont="1" applyBorder="1">
      <alignment/>
      <protection/>
    </xf>
    <xf numFmtId="4" fontId="19" fillId="0" borderId="26" xfId="105" applyNumberFormat="1" applyFont="1" applyBorder="1">
      <alignment/>
      <protection/>
    </xf>
    <xf numFmtId="4" fontId="19" fillId="0" borderId="27" xfId="105" applyNumberFormat="1" applyFont="1" applyBorder="1">
      <alignment/>
      <protection/>
    </xf>
    <xf numFmtId="0" fontId="2" fillId="0" borderId="0" xfId="105" applyFont="1" applyAlignment="1">
      <alignment vertical="top"/>
      <protection/>
    </xf>
    <xf numFmtId="0" fontId="11" fillId="0" borderId="0" xfId="105" applyFont="1" applyAlignment="1">
      <alignment vertical="center"/>
      <protection/>
    </xf>
    <xf numFmtId="0" fontId="11" fillId="0" borderId="0" xfId="105" applyFont="1">
      <alignment/>
      <protection/>
    </xf>
    <xf numFmtId="0" fontId="12" fillId="0" borderId="0" xfId="105" applyFont="1" applyBorder="1" applyAlignment="1">
      <alignment horizontal="center" vertical="center"/>
      <protection/>
    </xf>
    <xf numFmtId="0" fontId="22" fillId="51" borderId="21" xfId="105" applyFont="1" applyFill="1" applyBorder="1" applyAlignment="1">
      <alignment horizontal="center" vertical="center" wrapText="1"/>
      <protection/>
    </xf>
    <xf numFmtId="0" fontId="22" fillId="51" borderId="22" xfId="105" applyFont="1" applyFill="1" applyBorder="1" applyAlignment="1">
      <alignment horizontal="center" vertical="center" wrapText="1"/>
      <protection/>
    </xf>
    <xf numFmtId="0" fontId="22" fillId="51" borderId="23" xfId="105" applyFont="1" applyFill="1" applyBorder="1" applyAlignment="1">
      <alignment horizontal="center" vertical="center" wrapText="1"/>
      <protection/>
    </xf>
    <xf numFmtId="0" fontId="22" fillId="51" borderId="24" xfId="105" applyFont="1" applyFill="1" applyBorder="1" applyAlignment="1">
      <alignment horizontal="center" vertical="center" wrapText="1"/>
      <protection/>
    </xf>
    <xf numFmtId="0" fontId="29" fillId="51" borderId="25" xfId="105" applyFont="1" applyFill="1" applyBorder="1" applyAlignment="1">
      <alignment horizontal="center" vertical="center"/>
      <protection/>
    </xf>
    <xf numFmtId="0" fontId="29" fillId="51" borderId="29" xfId="105" applyFont="1" applyFill="1" applyBorder="1" applyAlignment="1">
      <alignment horizontal="center" vertical="center"/>
      <protection/>
    </xf>
    <xf numFmtId="0" fontId="29" fillId="51" borderId="25" xfId="105" applyFont="1" applyFill="1" applyBorder="1" applyAlignment="1">
      <alignment horizontal="center"/>
      <protection/>
    </xf>
    <xf numFmtId="0" fontId="29" fillId="51" borderId="27" xfId="105" applyFont="1" applyFill="1" applyBorder="1" applyAlignment="1">
      <alignment horizontal="center"/>
      <protection/>
    </xf>
    <xf numFmtId="0" fontId="29" fillId="51" borderId="28" xfId="105" applyFont="1" applyFill="1" applyBorder="1" applyAlignment="1">
      <alignment horizontal="center"/>
      <protection/>
    </xf>
    <xf numFmtId="0" fontId="29" fillId="51" borderId="29" xfId="105" applyFont="1" applyFill="1" applyBorder="1" applyAlignment="1">
      <alignment horizontal="center"/>
      <protection/>
    </xf>
    <xf numFmtId="0" fontId="29" fillId="51" borderId="25" xfId="105" applyFont="1" applyFill="1" applyBorder="1" applyAlignment="1">
      <alignment horizontal="center"/>
      <protection/>
    </xf>
    <xf numFmtId="0" fontId="29" fillId="53" borderId="30" xfId="105" applyFont="1" applyFill="1" applyBorder="1" applyAlignment="1">
      <alignment horizontal="center" vertical="center"/>
      <protection/>
    </xf>
    <xf numFmtId="0" fontId="29" fillId="53" borderId="31" xfId="105" applyFont="1" applyFill="1" applyBorder="1" applyAlignment="1">
      <alignment vertical="center" wrapText="1"/>
      <protection/>
    </xf>
    <xf numFmtId="4" fontId="30" fillId="0" borderId="43" xfId="105" applyNumberFormat="1" applyFont="1" applyBorder="1">
      <alignment/>
      <protection/>
    </xf>
    <xf numFmtId="4" fontId="11" fillId="0" borderId="0" xfId="105" applyNumberFormat="1" applyFont="1">
      <alignment/>
      <protection/>
    </xf>
    <xf numFmtId="0" fontId="29" fillId="53" borderId="21" xfId="105" applyFont="1" applyFill="1" applyBorder="1" applyAlignment="1">
      <alignment horizontal="center" vertical="center"/>
      <protection/>
    </xf>
    <xf numFmtId="0" fontId="29" fillId="53" borderId="24" xfId="105" applyFont="1" applyFill="1" applyBorder="1" applyAlignment="1">
      <alignment vertical="center" wrapText="1"/>
      <protection/>
    </xf>
    <xf numFmtId="4" fontId="30" fillId="0" borderId="22" xfId="105" applyNumberFormat="1" applyFont="1" applyBorder="1">
      <alignment/>
      <protection/>
    </xf>
    <xf numFmtId="0" fontId="11" fillId="0" borderId="0" xfId="105" applyFont="1" applyAlignment="1">
      <alignment horizontal="center"/>
      <protection/>
    </xf>
    <xf numFmtId="0" fontId="11" fillId="0" borderId="0" xfId="105" applyFont="1" applyAlignment="1">
      <alignment horizontal="right"/>
      <protection/>
    </xf>
    <xf numFmtId="3" fontId="11" fillId="0" borderId="0" xfId="105" applyNumberFormat="1" applyFont="1" applyAlignment="1">
      <alignment horizontal="right"/>
      <protection/>
    </xf>
    <xf numFmtId="49" fontId="29" fillId="53" borderId="21" xfId="105" applyNumberFormat="1" applyFont="1" applyFill="1" applyBorder="1" applyAlignment="1">
      <alignment horizontal="center" vertical="center"/>
      <protection/>
    </xf>
    <xf numFmtId="0" fontId="29" fillId="53" borderId="24" xfId="105" applyFont="1" applyFill="1" applyBorder="1" applyAlignment="1">
      <alignment horizontal="left" vertical="center" indent="3"/>
      <protection/>
    </xf>
    <xf numFmtId="0" fontId="29" fillId="53" borderId="24" xfId="105" applyFont="1" applyFill="1" applyBorder="1" applyAlignment="1">
      <alignment horizontal="left" vertical="center" wrapText="1" indent="3"/>
      <protection/>
    </xf>
    <xf numFmtId="3" fontId="11" fillId="0" borderId="0" xfId="105" applyNumberFormat="1" applyFont="1">
      <alignment/>
      <protection/>
    </xf>
    <xf numFmtId="0" fontId="29" fillId="53" borderId="24" xfId="105" applyFont="1" applyFill="1" applyBorder="1" applyAlignment="1">
      <alignment vertical="center"/>
      <protection/>
    </xf>
    <xf numFmtId="165" fontId="11" fillId="0" borderId="0" xfId="113" applyNumberFormat="1" applyFont="1" applyAlignment="1">
      <alignment/>
    </xf>
    <xf numFmtId="49" fontId="31" fillId="53" borderId="21" xfId="105" applyNumberFormat="1" applyFont="1" applyFill="1" applyBorder="1" applyAlignment="1">
      <alignment horizontal="center" vertical="center"/>
      <protection/>
    </xf>
    <xf numFmtId="0" fontId="31" fillId="53" borderId="24" xfId="105" applyFont="1" applyFill="1" applyBorder="1" applyAlignment="1">
      <alignment vertical="center" wrapText="1"/>
      <protection/>
    </xf>
    <xf numFmtId="4" fontId="32" fillId="0" borderId="22" xfId="105" applyNumberFormat="1" applyFont="1" applyBorder="1">
      <alignment/>
      <protection/>
    </xf>
    <xf numFmtId="4" fontId="12" fillId="0" borderId="0" xfId="105" applyNumberFormat="1" applyFont="1">
      <alignment/>
      <protection/>
    </xf>
    <xf numFmtId="0" fontId="12" fillId="0" borderId="0" xfId="105" applyFont="1" applyAlignment="1">
      <alignment horizontal="left"/>
      <protection/>
    </xf>
    <xf numFmtId="0" fontId="12" fillId="0" borderId="0" xfId="105" applyFont="1">
      <alignment/>
      <protection/>
    </xf>
    <xf numFmtId="0" fontId="33" fillId="53" borderId="24" xfId="105" applyFont="1" applyFill="1" applyBorder="1" applyAlignment="1">
      <alignment vertical="center" wrapText="1"/>
      <protection/>
    </xf>
    <xf numFmtId="49" fontId="29" fillId="53" borderId="24" xfId="105" applyNumberFormat="1" applyFont="1" applyFill="1" applyBorder="1" applyAlignment="1">
      <alignment vertical="center"/>
      <protection/>
    </xf>
    <xf numFmtId="49" fontId="29" fillId="53" borderId="24" xfId="105" applyNumberFormat="1" applyFont="1" applyFill="1" applyBorder="1" applyAlignment="1">
      <alignment vertical="center" wrapText="1"/>
      <protection/>
    </xf>
    <xf numFmtId="49" fontId="29" fillId="53" borderId="25" xfId="105" applyNumberFormat="1" applyFont="1" applyFill="1" applyBorder="1" applyAlignment="1">
      <alignment horizontal="center" vertical="center"/>
      <protection/>
    </xf>
    <xf numFmtId="0" fontId="34" fillId="53" borderId="29" xfId="105" applyFont="1" applyFill="1" applyBorder="1" applyAlignment="1">
      <alignment horizontal="left" vertical="center" wrapText="1"/>
      <protection/>
    </xf>
    <xf numFmtId="4" fontId="30" fillId="0" borderId="27" xfId="105" applyNumberFormat="1" applyFont="1" applyBorder="1">
      <alignment/>
      <protection/>
    </xf>
    <xf numFmtId="0" fontId="7" fillId="0" borderId="0" xfId="105" applyFont="1" applyAlignment="1">
      <alignment vertical="center"/>
      <protection/>
    </xf>
    <xf numFmtId="0" fontId="7" fillId="0" borderId="0" xfId="105" applyFont="1" applyAlignment="1">
      <alignment vertical="center"/>
      <protection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/>
    </xf>
    <xf numFmtId="0" fontId="35" fillId="0" borderId="55" xfId="0" applyFont="1" applyFill="1" applyBorder="1" applyAlignment="1">
      <alignment wrapText="1"/>
    </xf>
    <xf numFmtId="166" fontId="0" fillId="0" borderId="41" xfId="0" applyNumberFormat="1" applyFont="1" applyBorder="1" applyAlignment="1">
      <alignment/>
    </xf>
    <xf numFmtId="166" fontId="0" fillId="0" borderId="42" xfId="0" applyNumberFormat="1" applyFont="1" applyBorder="1" applyAlignment="1">
      <alignment/>
    </xf>
    <xf numFmtId="166" fontId="4" fillId="0" borderId="47" xfId="0" applyNumberFormat="1" applyFont="1" applyBorder="1" applyAlignment="1">
      <alignment/>
    </xf>
    <xf numFmtId="0" fontId="36" fillId="0" borderId="56" xfId="0" applyFont="1" applyFill="1" applyBorder="1" applyAlignment="1">
      <alignment horizontal="center"/>
    </xf>
    <xf numFmtId="0" fontId="36" fillId="0" borderId="48" xfId="0" applyFont="1" applyFill="1" applyBorder="1" applyAlignment="1">
      <alignment wrapText="1"/>
    </xf>
    <xf numFmtId="166" fontId="0" fillId="0" borderId="21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0" fontId="36" fillId="0" borderId="56" xfId="0" applyFont="1" applyBorder="1" applyAlignment="1">
      <alignment horizontal="center"/>
    </xf>
    <xf numFmtId="0" fontId="36" fillId="0" borderId="48" xfId="0" applyFont="1" applyBorder="1" applyAlignment="1">
      <alignment wrapText="1"/>
    </xf>
    <xf numFmtId="0" fontId="36" fillId="0" borderId="48" xfId="0" applyFont="1" applyFill="1" applyBorder="1" applyAlignment="1">
      <alignment horizontal="left" wrapText="1" inden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39" fillId="0" borderId="56" xfId="0" applyFont="1" applyFill="1" applyBorder="1" applyAlignment="1">
      <alignment horizontal="center"/>
    </xf>
    <xf numFmtId="0" fontId="39" fillId="0" borderId="48" xfId="0" applyFont="1" applyFill="1" applyBorder="1" applyAlignment="1">
      <alignment horizontal="left" vertical="center" wrapText="1" indent="1"/>
    </xf>
    <xf numFmtId="166" fontId="39" fillId="0" borderId="16" xfId="0" applyNumberFormat="1" applyFont="1" applyBorder="1" applyAlignment="1">
      <alignment/>
    </xf>
    <xf numFmtId="166" fontId="39" fillId="0" borderId="22" xfId="0" applyNumberFormat="1" applyFont="1" applyBorder="1" applyAlignment="1">
      <alignment/>
    </xf>
    <xf numFmtId="0" fontId="36" fillId="0" borderId="48" xfId="0" applyFont="1" applyFill="1" applyBorder="1" applyAlignment="1">
      <alignment vertical="center" wrapText="1"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left" vertical="center" wrapText="1"/>
    </xf>
    <xf numFmtId="0" fontId="35" fillId="0" borderId="56" xfId="0" applyFont="1" applyFill="1" applyBorder="1" applyAlignment="1">
      <alignment horizontal="center"/>
    </xf>
    <xf numFmtId="0" fontId="35" fillId="0" borderId="48" xfId="0" applyFont="1" applyFill="1" applyBorder="1" applyAlignment="1">
      <alignment wrapText="1"/>
    </xf>
    <xf numFmtId="166" fontId="4" fillId="0" borderId="21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/>
    </xf>
    <xf numFmtId="166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166" fontId="4" fillId="0" borderId="21" xfId="0" applyNumberFormat="1" applyFont="1" applyBorder="1" applyAlignment="1">
      <alignment/>
    </xf>
    <xf numFmtId="0" fontId="40" fillId="0" borderId="56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left" wrapText="1" indent="1"/>
    </xf>
    <xf numFmtId="166" fontId="40" fillId="0" borderId="21" xfId="0" applyNumberFormat="1" applyFont="1" applyBorder="1" applyAlignment="1">
      <alignment/>
    </xf>
    <xf numFmtId="166" fontId="40" fillId="0" borderId="16" xfId="0" applyNumberFormat="1" applyFont="1" applyBorder="1" applyAlignment="1">
      <alignment/>
    </xf>
    <xf numFmtId="166" fontId="40" fillId="0" borderId="22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5" fillId="0" borderId="48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56" xfId="0" applyFon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40" fillId="0" borderId="56" xfId="0" applyFont="1" applyBorder="1" applyAlignment="1">
      <alignment horizontal="center"/>
    </xf>
    <xf numFmtId="0" fontId="40" fillId="0" borderId="48" xfId="0" applyFont="1" applyBorder="1" applyAlignment="1">
      <alignment horizontal="left" wrapText="1" indent="1"/>
    </xf>
    <xf numFmtId="166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5" fillId="0" borderId="57" xfId="0" applyFont="1" applyBorder="1" applyAlignment="1">
      <alignment horizontal="center"/>
    </xf>
    <xf numFmtId="0" fontId="35" fillId="0" borderId="58" xfId="0" applyFont="1" applyBorder="1" applyAlignment="1">
      <alignment wrapText="1"/>
    </xf>
    <xf numFmtId="166" fontId="0" fillId="0" borderId="34" xfId="0" applyNumberFormat="1" applyFont="1" applyBorder="1" applyAlignment="1">
      <alignment/>
    </xf>
    <xf numFmtId="166" fontId="0" fillId="0" borderId="39" xfId="0" applyNumberFormat="1" applyFont="1" applyBorder="1" applyAlignment="1">
      <alignment/>
    </xf>
    <xf numFmtId="166" fontId="0" fillId="0" borderId="40" xfId="0" applyNumberFormat="1" applyFont="1" applyBorder="1" applyAlignment="1">
      <alignment/>
    </xf>
    <xf numFmtId="0" fontId="35" fillId="0" borderId="59" xfId="0" applyFont="1" applyBorder="1" applyAlignment="1">
      <alignment horizontal="center"/>
    </xf>
    <xf numFmtId="0" fontId="35" fillId="0" borderId="38" xfId="0" applyFont="1" applyBorder="1" applyAlignment="1">
      <alignment wrapText="1"/>
    </xf>
    <xf numFmtId="166" fontId="0" fillId="0" borderId="25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6" fontId="4" fillId="0" borderId="27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0" xfId="0" applyAlignment="1">
      <alignment horizontal="left" indent="3"/>
    </xf>
    <xf numFmtId="166" fontId="0" fillId="0" borderId="0" xfId="0" applyNumberFormat="1" applyAlignment="1">
      <alignment horizontal="left" indent="3"/>
    </xf>
    <xf numFmtId="0" fontId="0" fillId="0" borderId="0" xfId="0" applyAlignment="1">
      <alignment horizontal="center"/>
    </xf>
    <xf numFmtId="0" fontId="35" fillId="0" borderId="0" xfId="0" applyFont="1" applyFill="1" applyBorder="1" applyAlignment="1">
      <alignment horizontal="left"/>
    </xf>
    <xf numFmtId="0" fontId="2" fillId="51" borderId="25" xfId="105" applyFont="1" applyFill="1" applyBorder="1" applyAlignment="1">
      <alignment horizontal="center"/>
      <protection/>
    </xf>
    <xf numFmtId="0" fontId="2" fillId="51" borderId="29" xfId="105" applyFont="1" applyFill="1" applyBorder="1" applyAlignment="1">
      <alignment horizontal="center" vertical="center"/>
      <protection/>
    </xf>
    <xf numFmtId="0" fontId="2" fillId="51" borderId="25" xfId="105" applyFont="1" applyFill="1" applyBorder="1" applyAlignment="1">
      <alignment horizontal="center" vertical="center" wrapText="1"/>
      <protection/>
    </xf>
    <xf numFmtId="0" fontId="2" fillId="51" borderId="26" xfId="105" applyFont="1" applyFill="1" applyBorder="1" applyAlignment="1">
      <alignment horizontal="center" vertical="center" wrapText="1"/>
      <protection/>
    </xf>
    <xf numFmtId="0" fontId="2" fillId="51" borderId="27" xfId="105" applyFont="1" applyFill="1" applyBorder="1" applyAlignment="1">
      <alignment horizontal="center" vertical="center" wrapText="1"/>
      <protection/>
    </xf>
    <xf numFmtId="0" fontId="2" fillId="53" borderId="30" xfId="105" applyFont="1" applyFill="1" applyBorder="1" applyAlignment="1">
      <alignment horizontal="center"/>
      <protection/>
    </xf>
    <xf numFmtId="0" fontId="2" fillId="53" borderId="31" xfId="105" applyFont="1" applyFill="1" applyBorder="1">
      <alignment/>
      <protection/>
    </xf>
    <xf numFmtId="4" fontId="2" fillId="0" borderId="30" xfId="105" applyNumberFormat="1" applyFont="1" applyFill="1" applyBorder="1" applyAlignment="1">
      <alignment wrapText="1"/>
      <protection/>
    </xf>
    <xf numFmtId="4" fontId="2" fillId="0" borderId="45" xfId="105" applyNumberFormat="1" applyFont="1" applyFill="1" applyBorder="1" applyAlignment="1">
      <alignment wrapText="1"/>
      <protection/>
    </xf>
    <xf numFmtId="4" fontId="2" fillId="0" borderId="47" xfId="105" applyNumberFormat="1" applyFont="1" applyFill="1" applyBorder="1" applyAlignment="1">
      <alignment wrapText="1"/>
      <protection/>
    </xf>
    <xf numFmtId="0" fontId="2" fillId="53" borderId="21" xfId="105" applyFont="1" applyFill="1" applyBorder="1" applyAlignment="1">
      <alignment horizontal="center"/>
      <protection/>
    </xf>
    <xf numFmtId="0" fontId="42" fillId="53" borderId="24" xfId="105" applyFont="1" applyFill="1" applyBorder="1">
      <alignment/>
      <protection/>
    </xf>
    <xf numFmtId="4" fontId="42" fillId="0" borderId="21" xfId="105" applyNumberFormat="1" applyFont="1" applyFill="1" applyBorder="1" applyAlignment="1">
      <alignment wrapText="1"/>
      <protection/>
    </xf>
    <xf numFmtId="4" fontId="42" fillId="0" borderId="16" xfId="105" applyNumberFormat="1" applyFont="1" applyFill="1" applyBorder="1" applyAlignment="1">
      <alignment wrapText="1"/>
      <protection/>
    </xf>
    <xf numFmtId="4" fontId="42" fillId="0" borderId="22" xfId="105" applyNumberFormat="1" applyFont="1" applyFill="1" applyBorder="1" applyAlignment="1">
      <alignment wrapText="1"/>
      <protection/>
    </xf>
    <xf numFmtId="0" fontId="2" fillId="53" borderId="24" xfId="105" applyFont="1" applyFill="1" applyBorder="1">
      <alignment/>
      <protection/>
    </xf>
    <xf numFmtId="4" fontId="2" fillId="0" borderId="21" xfId="105" applyNumberFormat="1" applyFont="1" applyFill="1" applyBorder="1" applyAlignment="1">
      <alignment wrapText="1"/>
      <protection/>
    </xf>
    <xf numFmtId="4" fontId="2" fillId="0" borderId="16" xfId="105" applyNumberFormat="1" applyFont="1" applyFill="1" applyBorder="1" applyAlignment="1">
      <alignment wrapText="1"/>
      <protection/>
    </xf>
    <xf numFmtId="4" fontId="2" fillId="0" borderId="22" xfId="105" applyNumberFormat="1" applyFont="1" applyFill="1" applyBorder="1" applyAlignment="1">
      <alignment wrapText="1"/>
      <protection/>
    </xf>
    <xf numFmtId="0" fontId="2" fillId="53" borderId="24" xfId="105" applyFont="1" applyFill="1" applyBorder="1" applyAlignment="1">
      <alignment wrapText="1"/>
      <protection/>
    </xf>
    <xf numFmtId="4" fontId="43" fillId="0" borderId="21" xfId="105" applyNumberFormat="1" applyFont="1" applyFill="1" applyBorder="1" applyAlignment="1">
      <alignment wrapText="1"/>
      <protection/>
    </xf>
    <xf numFmtId="4" fontId="43" fillId="0" borderId="16" xfId="105" applyNumberFormat="1" applyFont="1" applyFill="1" applyBorder="1" applyAlignment="1">
      <alignment wrapText="1"/>
      <protection/>
    </xf>
    <xf numFmtId="4" fontId="43" fillId="0" borderId="22" xfId="105" applyNumberFormat="1" applyFont="1" applyFill="1" applyBorder="1" applyAlignment="1">
      <alignment wrapText="1"/>
      <protection/>
    </xf>
    <xf numFmtId="0" fontId="2" fillId="53" borderId="25" xfId="105" applyFont="1" applyFill="1" applyBorder="1" applyAlignment="1">
      <alignment horizontal="center"/>
      <protection/>
    </xf>
    <xf numFmtId="0" fontId="2" fillId="53" borderId="29" xfId="105" applyFont="1" applyFill="1" applyBorder="1">
      <alignment/>
      <protection/>
    </xf>
    <xf numFmtId="4" fontId="43" fillId="0" borderId="25" xfId="105" applyNumberFormat="1" applyFont="1" applyFill="1" applyBorder="1" applyAlignment="1">
      <alignment wrapText="1"/>
      <protection/>
    </xf>
    <xf numFmtId="4" fontId="43" fillId="0" borderId="26" xfId="105" applyNumberFormat="1" applyFont="1" applyFill="1" applyBorder="1" applyAlignment="1">
      <alignment wrapText="1"/>
      <protection/>
    </xf>
    <xf numFmtId="4" fontId="43" fillId="0" borderId="27" xfId="105" applyNumberFormat="1" applyFont="1" applyFill="1" applyBorder="1" applyAlignment="1">
      <alignment wrapText="1"/>
      <protection/>
    </xf>
    <xf numFmtId="0" fontId="18" fillId="0" borderId="0" xfId="105" applyFont="1">
      <alignment/>
      <protection/>
    </xf>
    <xf numFmtId="0" fontId="2" fillId="0" borderId="0" xfId="105" applyFont="1" applyAlignment="1">
      <alignment wrapText="1"/>
      <protection/>
    </xf>
    <xf numFmtId="0" fontId="2" fillId="0" borderId="0" xfId="102" applyAlignment="1">
      <alignment wrapText="1"/>
      <protection/>
    </xf>
    <xf numFmtId="0" fontId="2" fillId="0" borderId="0" xfId="102">
      <alignment/>
      <protection/>
    </xf>
    <xf numFmtId="0" fontId="2" fillId="0" borderId="0" xfId="105" applyFont="1" applyAlignment="1">
      <alignment horizontal="right" wrapText="1"/>
      <protection/>
    </xf>
    <xf numFmtId="0" fontId="2" fillId="51" borderId="59" xfId="105" applyFont="1" applyFill="1" applyBorder="1" applyAlignment="1">
      <alignment horizontal="center" wrapText="1"/>
      <protection/>
    </xf>
    <xf numFmtId="0" fontId="2" fillId="51" borderId="26" xfId="102" applyFill="1" applyBorder="1" applyAlignment="1">
      <alignment horizontal="center" wrapText="1"/>
      <protection/>
    </xf>
    <xf numFmtId="0" fontId="2" fillId="51" borderId="27" xfId="102" applyFill="1" applyBorder="1" applyAlignment="1">
      <alignment horizontal="center" wrapText="1"/>
      <protection/>
    </xf>
    <xf numFmtId="0" fontId="2" fillId="53" borderId="60" xfId="105" applyFont="1" applyFill="1" applyBorder="1" applyAlignment="1">
      <alignment horizontal="left" wrapText="1"/>
      <protection/>
    </xf>
    <xf numFmtId="4" fontId="2" fillId="0" borderId="41" xfId="105" applyNumberFormat="1" applyFont="1" applyBorder="1" applyAlignment="1">
      <alignment wrapText="1"/>
      <protection/>
    </xf>
    <xf numFmtId="4" fontId="2" fillId="0" borderId="42" xfId="105" applyNumberFormat="1" applyFont="1" applyFill="1" applyBorder="1" applyAlignment="1">
      <alignment wrapText="1"/>
      <protection/>
    </xf>
    <xf numFmtId="4" fontId="2" fillId="0" borderId="42" xfId="102" applyNumberFormat="1" applyFont="1" applyBorder="1" applyAlignment="1">
      <alignment wrapText="1"/>
      <protection/>
    </xf>
    <xf numFmtId="4" fontId="2" fillId="0" borderId="43" xfId="102" applyNumberFormat="1" applyFont="1" applyBorder="1" applyAlignment="1">
      <alignment horizontal="center" wrapText="1"/>
      <protection/>
    </xf>
    <xf numFmtId="0" fontId="2" fillId="53" borderId="56" xfId="105" applyFont="1" applyFill="1" applyBorder="1" applyAlignment="1">
      <alignment horizontal="left" wrapText="1"/>
      <protection/>
    </xf>
    <xf numFmtId="4" fontId="42" fillId="0" borderId="21" xfId="105" applyNumberFormat="1" applyFont="1" applyBorder="1" applyAlignment="1">
      <alignment wrapText="1"/>
      <protection/>
    </xf>
    <xf numFmtId="4" fontId="2" fillId="0" borderId="16" xfId="102" applyNumberFormat="1" applyFont="1" applyBorder="1" applyAlignment="1">
      <alignment wrapText="1"/>
      <protection/>
    </xf>
    <xf numFmtId="4" fontId="2" fillId="0" borderId="22" xfId="102" applyNumberFormat="1" applyFont="1" applyBorder="1" applyAlignment="1">
      <alignment horizontal="center" wrapText="1"/>
      <protection/>
    </xf>
    <xf numFmtId="0" fontId="2" fillId="53" borderId="48" xfId="105" applyFont="1" applyFill="1" applyBorder="1" applyAlignment="1">
      <alignment horizontal="left" wrapText="1" indent="1"/>
      <protection/>
    </xf>
    <xf numFmtId="0" fontId="2" fillId="53" borderId="57" xfId="105" applyFont="1" applyFill="1" applyBorder="1" applyAlignment="1">
      <alignment horizontal="left" wrapText="1" indent="1"/>
      <protection/>
    </xf>
    <xf numFmtId="4" fontId="42" fillId="0" borderId="34" xfId="105" applyNumberFormat="1" applyFont="1" applyBorder="1" applyAlignment="1">
      <alignment wrapText="1"/>
      <protection/>
    </xf>
    <xf numFmtId="4" fontId="42" fillId="0" borderId="39" xfId="105" applyNumberFormat="1" applyFont="1" applyFill="1" applyBorder="1" applyAlignment="1">
      <alignment wrapText="1"/>
      <protection/>
    </xf>
    <xf numFmtId="4" fontId="2" fillId="0" borderId="39" xfId="102" applyNumberFormat="1" applyFont="1" applyBorder="1" applyAlignment="1">
      <alignment wrapText="1"/>
      <protection/>
    </xf>
    <xf numFmtId="4" fontId="2" fillId="0" borderId="40" xfId="102" applyNumberFormat="1" applyFont="1" applyBorder="1" applyAlignment="1">
      <alignment horizontal="center" wrapText="1"/>
      <protection/>
    </xf>
    <xf numFmtId="4" fontId="44" fillId="0" borderId="25" xfId="105" applyNumberFormat="1" applyFont="1" applyBorder="1" applyAlignment="1">
      <alignment wrapText="1"/>
      <protection/>
    </xf>
    <xf numFmtId="4" fontId="44" fillId="0" borderId="26" xfId="105" applyNumberFormat="1" applyFont="1" applyFill="1" applyBorder="1" applyAlignment="1">
      <alignment wrapText="1"/>
      <protection/>
    </xf>
    <xf numFmtId="4" fontId="44" fillId="0" borderId="26" xfId="102" applyNumberFormat="1" applyFont="1" applyBorder="1" applyAlignment="1">
      <alignment wrapText="1"/>
      <protection/>
    </xf>
    <xf numFmtId="4" fontId="44" fillId="0" borderId="27" xfId="102" applyNumberFormat="1" applyFont="1" applyBorder="1" applyAlignment="1">
      <alignment horizontal="center" wrapText="1"/>
      <protection/>
    </xf>
    <xf numFmtId="0" fontId="2" fillId="0" borderId="0" xfId="102" applyAlignment="1">
      <alignment horizontal="center"/>
      <protection/>
    </xf>
    <xf numFmtId="0" fontId="20" fillId="0" borderId="0" xfId="105" applyFont="1" applyAlignment="1">
      <alignment horizontal="center" wrapText="1"/>
      <protection/>
    </xf>
    <xf numFmtId="0" fontId="29" fillId="51" borderId="21" xfId="105" applyFont="1" applyFill="1" applyBorder="1" applyAlignment="1">
      <alignment horizontal="center"/>
      <protection/>
    </xf>
    <xf numFmtId="0" fontId="29" fillId="51" borderId="24" xfId="105" applyFont="1" applyFill="1" applyBorder="1" applyAlignment="1">
      <alignment horizontal="center"/>
      <protection/>
    </xf>
    <xf numFmtId="0" fontId="29" fillId="51" borderId="22" xfId="105" applyFont="1" applyFill="1" applyBorder="1" applyAlignment="1">
      <alignment horizontal="center"/>
      <protection/>
    </xf>
    <xf numFmtId="0" fontId="2" fillId="51" borderId="25" xfId="105" applyFont="1" applyFill="1" applyBorder="1" applyAlignment="1">
      <alignment horizontal="center" wrapText="1"/>
      <protection/>
    </xf>
    <xf numFmtId="0" fontId="34" fillId="51" borderId="29" xfId="105" applyFont="1" applyFill="1" applyBorder="1" applyAlignment="1">
      <alignment horizontal="center" wrapText="1"/>
      <protection/>
    </xf>
    <xf numFmtId="0" fontId="34" fillId="51" borderId="25" xfId="105" applyFont="1" applyFill="1" applyBorder="1" applyAlignment="1">
      <alignment horizontal="center" wrapText="1"/>
      <protection/>
    </xf>
    <xf numFmtId="0" fontId="34" fillId="51" borderId="27" xfId="105" applyFont="1" applyFill="1" applyBorder="1" applyAlignment="1">
      <alignment horizontal="center" wrapText="1"/>
      <protection/>
    </xf>
    <xf numFmtId="0" fontId="2" fillId="53" borderId="31" xfId="105" applyFont="1" applyFill="1" applyBorder="1" applyAlignment="1">
      <alignment wrapText="1"/>
      <protection/>
    </xf>
    <xf numFmtId="4" fontId="45" fillId="0" borderId="30" xfId="105" applyNumberFormat="1" applyFont="1" applyFill="1" applyBorder="1" applyAlignment="1">
      <alignment wrapText="1"/>
      <protection/>
    </xf>
    <xf numFmtId="4" fontId="43" fillId="0" borderId="31" xfId="105" applyNumberFormat="1" applyFont="1" applyFill="1" applyBorder="1" applyAlignment="1">
      <alignment wrapText="1"/>
      <protection/>
    </xf>
    <xf numFmtId="4" fontId="43" fillId="0" borderId="47" xfId="105" applyNumberFormat="1" applyFont="1" applyFill="1" applyBorder="1" applyAlignment="1">
      <alignment wrapText="1"/>
      <protection/>
    </xf>
    <xf numFmtId="0" fontId="42" fillId="53" borderId="24" xfId="105" applyFont="1" applyFill="1" applyBorder="1" applyAlignment="1">
      <alignment wrapText="1"/>
      <protection/>
    </xf>
    <xf numFmtId="4" fontId="46" fillId="0" borderId="21" xfId="105" applyNumberFormat="1" applyFont="1" applyFill="1" applyBorder="1" applyAlignment="1">
      <alignment wrapText="1"/>
      <protection/>
    </xf>
    <xf numFmtId="4" fontId="47" fillId="0" borderId="22" xfId="105" applyNumberFormat="1" applyFont="1" applyFill="1" applyBorder="1" applyAlignment="1">
      <alignment wrapText="1"/>
      <protection/>
    </xf>
    <xf numFmtId="4" fontId="45" fillId="0" borderId="21" xfId="105" applyNumberFormat="1" applyFont="1" applyFill="1" applyBorder="1" applyAlignment="1">
      <alignment wrapText="1"/>
      <protection/>
    </xf>
    <xf numFmtId="4" fontId="45" fillId="0" borderId="21" xfId="105" applyNumberFormat="1" applyFont="1" applyFill="1" applyBorder="1" applyAlignment="1">
      <alignment horizontal="right" wrapText="1"/>
      <protection/>
    </xf>
    <xf numFmtId="0" fontId="42" fillId="53" borderId="21" xfId="105" applyFont="1" applyFill="1" applyBorder="1" applyAlignment="1">
      <alignment horizontal="center" wrapText="1"/>
      <protection/>
    </xf>
    <xf numFmtId="0" fontId="42" fillId="53" borderId="21" xfId="105" applyFont="1" applyFill="1" applyBorder="1" applyAlignment="1">
      <alignment wrapText="1"/>
      <protection/>
    </xf>
    <xf numFmtId="0" fontId="2" fillId="53" borderId="29" xfId="105" applyFont="1" applyFill="1" applyBorder="1" applyAlignment="1">
      <alignment wrapText="1"/>
      <protection/>
    </xf>
    <xf numFmtId="4" fontId="45" fillId="0" borderId="25" xfId="105" applyNumberFormat="1" applyFont="1" applyFill="1" applyBorder="1" applyAlignment="1">
      <alignment wrapText="1"/>
      <protection/>
    </xf>
    <xf numFmtId="4" fontId="2" fillId="0" borderId="0" xfId="102" applyNumberFormat="1">
      <alignment/>
      <protection/>
    </xf>
    <xf numFmtId="0" fontId="2" fillId="53" borderId="45" xfId="102" applyFill="1" applyBorder="1">
      <alignment/>
      <protection/>
    </xf>
    <xf numFmtId="0" fontId="42" fillId="53" borderId="45" xfId="102" applyFont="1" applyFill="1" applyBorder="1">
      <alignment/>
      <protection/>
    </xf>
    <xf numFmtId="0" fontId="2" fillId="0" borderId="45" xfId="102" applyBorder="1">
      <alignment/>
      <protection/>
    </xf>
    <xf numFmtId="0" fontId="2" fillId="53" borderId="16" xfId="102" applyFill="1" applyBorder="1">
      <alignment/>
      <protection/>
    </xf>
    <xf numFmtId="0" fontId="2" fillId="53" borderId="16" xfId="105" applyFont="1" applyFill="1" applyBorder="1" applyAlignment="1">
      <alignment wrapText="1"/>
      <protection/>
    </xf>
    <xf numFmtId="0" fontId="2" fillId="0" borderId="16" xfId="102" applyBorder="1">
      <alignment/>
      <protection/>
    </xf>
    <xf numFmtId="2" fontId="2" fillId="0" borderId="16" xfId="102" applyNumberFormat="1" applyBorder="1">
      <alignment/>
      <protection/>
    </xf>
    <xf numFmtId="0" fontId="2" fillId="0" borderId="0" xfId="103" applyFont="1">
      <alignment/>
      <protection/>
    </xf>
    <xf numFmtId="0" fontId="2" fillId="0" borderId="0" xfId="103" applyFont="1" applyAlignment="1">
      <alignment horizontal="right"/>
      <protection/>
    </xf>
    <xf numFmtId="0" fontId="25" fillId="0" borderId="0" xfId="103" applyFont="1" applyBorder="1" applyAlignment="1">
      <alignment horizontal="center" vertical="center" wrapText="1"/>
      <protection/>
    </xf>
    <xf numFmtId="0" fontId="2" fillId="51" borderId="61" xfId="103" applyFont="1" applyFill="1" applyBorder="1" applyAlignment="1">
      <alignment horizontal="center" wrapText="1"/>
      <protection/>
    </xf>
    <xf numFmtId="0" fontId="2" fillId="51" borderId="61" xfId="103" applyFont="1" applyFill="1" applyBorder="1">
      <alignment/>
      <protection/>
    </xf>
    <xf numFmtId="0" fontId="2" fillId="51" borderId="0" xfId="103" applyFont="1" applyFill="1" applyBorder="1">
      <alignment/>
      <protection/>
    </xf>
    <xf numFmtId="0" fontId="22" fillId="51" borderId="16" xfId="105" applyFont="1" applyFill="1" applyBorder="1" applyAlignment="1">
      <alignment horizontal="center" vertical="center" wrapText="1"/>
      <protection/>
    </xf>
    <xf numFmtId="0" fontId="2" fillId="51" borderId="25" xfId="103" applyFont="1" applyFill="1" applyBorder="1" applyAlignment="1">
      <alignment horizontal="center"/>
      <protection/>
    </xf>
    <xf numFmtId="0" fontId="2" fillId="51" borderId="29" xfId="103" applyFont="1" applyFill="1" applyBorder="1" applyAlignment="1">
      <alignment horizontal="center"/>
      <protection/>
    </xf>
    <xf numFmtId="0" fontId="2" fillId="51" borderId="38" xfId="103" applyFont="1" applyFill="1" applyBorder="1" applyAlignment="1">
      <alignment horizontal="center"/>
      <protection/>
    </xf>
    <xf numFmtId="0" fontId="2" fillId="51" borderId="37" xfId="103" applyFont="1" applyFill="1" applyBorder="1" applyAlignment="1">
      <alignment horizontal="center"/>
      <protection/>
    </xf>
    <xf numFmtId="0" fontId="2" fillId="51" borderId="59" xfId="103" applyFont="1" applyFill="1" applyBorder="1" applyAlignment="1">
      <alignment horizontal="center"/>
      <protection/>
    </xf>
    <xf numFmtId="0" fontId="2" fillId="51" borderId="27" xfId="103" applyFont="1" applyFill="1" applyBorder="1" applyAlignment="1">
      <alignment horizontal="center"/>
      <protection/>
    </xf>
    <xf numFmtId="0" fontId="2" fillId="51" borderId="62" xfId="103" applyFont="1" applyFill="1" applyBorder="1" applyAlignment="1">
      <alignment horizontal="right"/>
      <protection/>
    </xf>
    <xf numFmtId="0" fontId="48" fillId="0" borderId="0" xfId="103" applyFont="1">
      <alignment/>
      <protection/>
    </xf>
    <xf numFmtId="0" fontId="2" fillId="53" borderId="30" xfId="103" applyFont="1" applyFill="1" applyBorder="1" applyAlignment="1">
      <alignment horizontal="left" vertical="top"/>
      <protection/>
    </xf>
    <xf numFmtId="0" fontId="2" fillId="53" borderId="31" xfId="103" applyFont="1" applyFill="1" applyBorder="1" applyAlignment="1">
      <alignment vertical="center" wrapText="1"/>
      <protection/>
    </xf>
    <xf numFmtId="0" fontId="2" fillId="53" borderId="55" xfId="103" applyFont="1" applyFill="1" applyBorder="1" applyAlignment="1">
      <alignment horizontal="center" vertical="center"/>
      <protection/>
    </xf>
    <xf numFmtId="4" fontId="2" fillId="0" borderId="44" xfId="103" applyNumberFormat="1" applyFont="1" applyBorder="1" applyAlignment="1">
      <alignment horizontal="right"/>
      <protection/>
    </xf>
    <xf numFmtId="4" fontId="2" fillId="0" borderId="31" xfId="103" applyNumberFormat="1" applyFont="1" applyBorder="1" applyAlignment="1">
      <alignment horizontal="right"/>
      <protection/>
    </xf>
    <xf numFmtId="4" fontId="2" fillId="0" borderId="30" xfId="103" applyNumberFormat="1" applyFont="1" applyBorder="1" applyAlignment="1">
      <alignment horizontal="right"/>
      <protection/>
    </xf>
    <xf numFmtId="4" fontId="2" fillId="0" borderId="47" xfId="103" applyNumberFormat="1" applyFont="1" applyBorder="1" applyAlignment="1">
      <alignment horizontal="right"/>
      <protection/>
    </xf>
    <xf numFmtId="4" fontId="2" fillId="0" borderId="0" xfId="103" applyNumberFormat="1" applyFont="1" applyBorder="1" applyAlignment="1">
      <alignment horizontal="right"/>
      <protection/>
    </xf>
    <xf numFmtId="4" fontId="2" fillId="0" borderId="0" xfId="103" applyNumberFormat="1" applyFont="1" applyBorder="1">
      <alignment/>
      <protection/>
    </xf>
    <xf numFmtId="4" fontId="2" fillId="0" borderId="45" xfId="103" applyNumberFormat="1" applyFont="1" applyBorder="1" applyAlignment="1">
      <alignment horizontal="right"/>
      <protection/>
    </xf>
    <xf numFmtId="0" fontId="2" fillId="53" borderId="21" xfId="103" applyFont="1" applyFill="1" applyBorder="1" applyAlignment="1">
      <alignment horizontal="left" vertical="top"/>
      <protection/>
    </xf>
    <xf numFmtId="0" fontId="2" fillId="53" borderId="24" xfId="103" applyFont="1" applyFill="1" applyBorder="1" applyAlignment="1">
      <alignment vertical="center" wrapText="1"/>
      <protection/>
    </xf>
    <xf numFmtId="0" fontId="2" fillId="53" borderId="48" xfId="103" applyFont="1" applyFill="1" applyBorder="1" applyAlignment="1">
      <alignment horizontal="center" vertical="center"/>
      <protection/>
    </xf>
    <xf numFmtId="4" fontId="2" fillId="0" borderId="23" xfId="103" applyNumberFormat="1" applyFont="1" applyBorder="1" applyAlignment="1">
      <alignment horizontal="right"/>
      <protection/>
    </xf>
    <xf numFmtId="4" fontId="2" fillId="0" borderId="24" xfId="103" applyNumberFormat="1" applyFont="1" applyBorder="1" applyAlignment="1">
      <alignment horizontal="right"/>
      <protection/>
    </xf>
    <xf numFmtId="4" fontId="2" fillId="0" borderId="21" xfId="103" applyNumberFormat="1" applyFont="1" applyBorder="1" applyAlignment="1">
      <alignment horizontal="right"/>
      <protection/>
    </xf>
    <xf numFmtId="4" fontId="2" fillId="0" borderId="22" xfId="103" applyNumberFormat="1" applyFont="1" applyBorder="1" applyAlignment="1">
      <alignment horizontal="right"/>
      <protection/>
    </xf>
    <xf numFmtId="4" fontId="2" fillId="0" borderId="16" xfId="103" applyNumberFormat="1" applyFont="1" applyBorder="1" applyAlignment="1">
      <alignment horizontal="right"/>
      <protection/>
    </xf>
    <xf numFmtId="4" fontId="48" fillId="0" borderId="0" xfId="103" applyNumberFormat="1" applyFont="1" applyBorder="1" applyAlignment="1">
      <alignment horizontal="right"/>
      <protection/>
    </xf>
    <xf numFmtId="4" fontId="2" fillId="0" borderId="23" xfId="105" applyNumberFormat="1" applyFont="1" applyFill="1" applyBorder="1" applyAlignment="1">
      <alignment horizontal="right"/>
      <protection/>
    </xf>
    <xf numFmtId="4" fontId="2" fillId="0" borderId="21" xfId="105" applyNumberFormat="1" applyFont="1" applyFill="1" applyBorder="1" applyAlignment="1">
      <alignment horizontal="right"/>
      <protection/>
    </xf>
    <xf numFmtId="4" fontId="48" fillId="0" borderId="0" xfId="103" applyNumberFormat="1" applyFont="1" applyBorder="1">
      <alignment/>
      <protection/>
    </xf>
    <xf numFmtId="4" fontId="2" fillId="0" borderId="16" xfId="105" applyNumberFormat="1" applyFont="1" applyFill="1" applyBorder="1" applyAlignment="1">
      <alignment horizontal="right"/>
      <protection/>
    </xf>
    <xf numFmtId="4" fontId="48" fillId="0" borderId="0" xfId="103" applyNumberFormat="1" applyFont="1" applyBorder="1" applyAlignment="1">
      <alignment horizontal="center"/>
      <protection/>
    </xf>
    <xf numFmtId="4" fontId="2" fillId="0" borderId="0" xfId="103" applyNumberFormat="1" applyFont="1" applyBorder="1" applyAlignment="1">
      <alignment horizontal="center"/>
      <protection/>
    </xf>
    <xf numFmtId="4" fontId="2" fillId="0" borderId="23" xfId="113" applyNumberFormat="1" applyFont="1" applyBorder="1" applyAlignment="1">
      <alignment horizontal="right"/>
    </xf>
    <xf numFmtId="4" fontId="2" fillId="0" borderId="21" xfId="113" applyNumberFormat="1" applyFont="1" applyBorder="1" applyAlignment="1">
      <alignment horizontal="right"/>
    </xf>
    <xf numFmtId="4" fontId="2" fillId="0" borderId="16" xfId="113" applyNumberFormat="1" applyFont="1" applyBorder="1" applyAlignment="1">
      <alignment horizontal="right"/>
    </xf>
    <xf numFmtId="4" fontId="2" fillId="0" borderId="23" xfId="103" applyNumberFormat="1" applyFont="1" applyBorder="1">
      <alignment/>
      <protection/>
    </xf>
    <xf numFmtId="4" fontId="2" fillId="0" borderId="21" xfId="103" applyNumberFormat="1" applyFont="1" applyBorder="1">
      <alignment/>
      <protection/>
    </xf>
    <xf numFmtId="4" fontId="2" fillId="0" borderId="0" xfId="103" applyNumberFormat="1" applyFont="1" applyBorder="1" applyAlignment="1">
      <alignment horizontal="left"/>
      <protection/>
    </xf>
    <xf numFmtId="4" fontId="2" fillId="0" borderId="16" xfId="103" applyNumberFormat="1" applyFont="1" applyBorder="1">
      <alignment/>
      <protection/>
    </xf>
    <xf numFmtId="4" fontId="2" fillId="0" borderId="23" xfId="103" applyNumberFormat="1" applyFont="1" applyBorder="1">
      <alignment/>
      <protection/>
    </xf>
    <xf numFmtId="4" fontId="2" fillId="0" borderId="21" xfId="103" applyNumberFormat="1" applyFont="1" applyBorder="1">
      <alignment/>
      <protection/>
    </xf>
    <xf numFmtId="4" fontId="2" fillId="0" borderId="16" xfId="103" applyNumberFormat="1" applyFont="1" applyBorder="1">
      <alignment/>
      <protection/>
    </xf>
    <xf numFmtId="0" fontId="22" fillId="53" borderId="25" xfId="103" applyFont="1" applyFill="1" applyBorder="1" applyAlignment="1">
      <alignment vertical="top" wrapText="1"/>
      <protection/>
    </xf>
    <xf numFmtId="0" fontId="22" fillId="53" borderId="29" xfId="103" applyFont="1" applyFill="1" applyBorder="1" applyAlignment="1">
      <alignment vertical="center" wrapText="1"/>
      <protection/>
    </xf>
    <xf numFmtId="0" fontId="22" fillId="53" borderId="38" xfId="103" applyFont="1" applyFill="1" applyBorder="1" applyAlignment="1">
      <alignment horizontal="center" vertical="center" wrapText="1"/>
      <protection/>
    </xf>
    <xf numFmtId="4" fontId="22" fillId="0" borderId="28" xfId="103" applyNumberFormat="1" applyFont="1" applyBorder="1" applyAlignment="1">
      <alignment wrapText="1"/>
      <protection/>
    </xf>
    <xf numFmtId="4" fontId="22" fillId="0" borderId="29" xfId="103" applyNumberFormat="1" applyFont="1" applyBorder="1" applyAlignment="1">
      <alignment horizontal="right" wrapText="1"/>
      <protection/>
    </xf>
    <xf numFmtId="4" fontId="22" fillId="0" borderId="25" xfId="103" applyNumberFormat="1" applyFont="1" applyBorder="1" applyAlignment="1">
      <alignment wrapText="1"/>
      <protection/>
    </xf>
    <xf numFmtId="4" fontId="22" fillId="0" borderId="27" xfId="103" applyNumberFormat="1" applyFont="1" applyBorder="1" applyAlignment="1">
      <alignment horizontal="right" wrapText="1"/>
      <protection/>
    </xf>
    <xf numFmtId="4" fontId="2" fillId="0" borderId="62" xfId="103" applyNumberFormat="1" applyFont="1" applyBorder="1">
      <alignment/>
      <protection/>
    </xf>
    <xf numFmtId="4" fontId="22" fillId="0" borderId="26" xfId="103" applyNumberFormat="1" applyFont="1" applyBorder="1" applyAlignment="1">
      <alignment wrapText="1"/>
      <protection/>
    </xf>
    <xf numFmtId="165" fontId="2" fillId="0" borderId="0" xfId="113" applyNumberFormat="1" applyFont="1" applyAlignment="1">
      <alignment/>
    </xf>
    <xf numFmtId="0" fontId="22" fillId="0" borderId="45" xfId="103" applyFont="1" applyBorder="1" applyAlignment="1">
      <alignment horizontal="left" wrapText="1"/>
      <protection/>
    </xf>
    <xf numFmtId="0" fontId="22" fillId="0" borderId="45" xfId="103" applyFont="1" applyBorder="1" applyAlignment="1">
      <alignment wrapText="1"/>
      <protection/>
    </xf>
    <xf numFmtId="0" fontId="22" fillId="0" borderId="45" xfId="103" applyFont="1" applyBorder="1" applyAlignment="1">
      <alignment horizontal="center" wrapText="1"/>
      <protection/>
    </xf>
    <xf numFmtId="3" fontId="49" fillId="0" borderId="45" xfId="102" applyNumberFormat="1" applyFont="1" applyBorder="1" applyAlignment="1">
      <alignment wrapText="1"/>
      <protection/>
    </xf>
    <xf numFmtId="0" fontId="2" fillId="0" borderId="16" xfId="103" applyFont="1" applyBorder="1" applyAlignment="1">
      <alignment horizontal="left" vertical="center"/>
      <protection/>
    </xf>
    <xf numFmtId="0" fontId="2" fillId="0" borderId="16" xfId="103" applyFont="1" applyBorder="1" applyAlignment="1">
      <alignment wrapText="1"/>
      <protection/>
    </xf>
    <xf numFmtId="0" fontId="2" fillId="0" borderId="16" xfId="103" applyFont="1" applyBorder="1" applyAlignment="1">
      <alignment horizontal="center"/>
      <protection/>
    </xf>
    <xf numFmtId="3" fontId="49" fillId="0" borderId="16" xfId="102" applyNumberFormat="1" applyFont="1" applyBorder="1" applyAlignment="1">
      <alignment wrapText="1"/>
      <protection/>
    </xf>
    <xf numFmtId="0" fontId="22" fillId="0" borderId="16" xfId="103" applyFont="1" applyBorder="1" applyAlignment="1">
      <alignment wrapText="1"/>
      <protection/>
    </xf>
    <xf numFmtId="0" fontId="22" fillId="0" borderId="16" xfId="103" applyFont="1" applyBorder="1" applyAlignment="1">
      <alignment horizontal="center" wrapText="1"/>
      <protection/>
    </xf>
    <xf numFmtId="3" fontId="22" fillId="0" borderId="16" xfId="103" applyNumberFormat="1" applyFont="1" applyBorder="1" applyAlignment="1">
      <alignment wrapText="1"/>
      <protection/>
    </xf>
    <xf numFmtId="1" fontId="17" fillId="0" borderId="0" xfId="103" applyNumberFormat="1" applyFont="1" applyBorder="1">
      <alignment/>
      <protection/>
    </xf>
    <xf numFmtId="0" fontId="22" fillId="0" borderId="16" xfId="103" applyFont="1" applyBorder="1" applyAlignment="1">
      <alignment horizontal="left" wrapText="1"/>
      <protection/>
    </xf>
    <xf numFmtId="2" fontId="22" fillId="0" borderId="16" xfId="103" applyNumberFormat="1" applyFont="1" applyBorder="1" applyAlignment="1">
      <alignment horizontal="center" wrapText="1"/>
      <protection/>
    </xf>
    <xf numFmtId="2" fontId="2" fillId="0" borderId="16" xfId="103" applyNumberFormat="1" applyFont="1" applyBorder="1" applyAlignment="1">
      <alignment horizontal="center"/>
      <protection/>
    </xf>
    <xf numFmtId="0" fontId="2" fillId="0" borderId="0" xfId="103" applyFont="1" applyBorder="1">
      <alignment/>
      <protection/>
    </xf>
    <xf numFmtId="2" fontId="2" fillId="0" borderId="0" xfId="103" applyNumberFormat="1" applyFont="1" applyBorder="1">
      <alignment/>
      <protection/>
    </xf>
    <xf numFmtId="0" fontId="2" fillId="0" borderId="0" xfId="103" applyFont="1" applyBorder="1" applyAlignment="1">
      <alignment horizontal="left" vertical="center"/>
      <protection/>
    </xf>
    <xf numFmtId="0" fontId="2" fillId="0" borderId="0" xfId="103" applyFont="1" applyBorder="1" applyAlignment="1">
      <alignment wrapText="1"/>
      <protection/>
    </xf>
    <xf numFmtId="2" fontId="2" fillId="0" borderId="0" xfId="103" applyNumberFormat="1" applyFont="1" applyBorder="1" applyAlignment="1">
      <alignment horizontal="center"/>
      <protection/>
    </xf>
    <xf numFmtId="10" fontId="49" fillId="0" borderId="0" xfId="113" applyNumberFormat="1" applyFont="1" applyBorder="1" applyAlignment="1">
      <alignment wrapText="1"/>
    </xf>
    <xf numFmtId="3" fontId="22" fillId="0" borderId="0" xfId="103" applyNumberFormat="1" applyFont="1" applyBorder="1" applyAlignment="1">
      <alignment horizontal="center" wrapText="1"/>
      <protection/>
    </xf>
    <xf numFmtId="0" fontId="27" fillId="0" borderId="0" xfId="103" applyFont="1" applyBorder="1" applyAlignment="1">
      <alignment horizontal="center"/>
      <protection/>
    </xf>
    <xf numFmtId="0" fontId="2" fillId="0" borderId="0" xfId="103" applyFont="1" applyAlignment="1">
      <alignment horizontal="center"/>
      <protection/>
    </xf>
    <xf numFmtId="3" fontId="2" fillId="0" borderId="0" xfId="103" applyNumberFormat="1" applyFont="1">
      <alignment/>
      <protection/>
    </xf>
    <xf numFmtId="0" fontId="2" fillId="0" borderId="0" xfId="100" applyFont="1">
      <alignment/>
      <protection/>
    </xf>
    <xf numFmtId="0" fontId="2" fillId="0" borderId="0" xfId="100" applyFont="1" applyAlignment="1">
      <alignment horizontal="right"/>
      <protection/>
    </xf>
    <xf numFmtId="0" fontId="20" fillId="0" borderId="0" xfId="100" applyFont="1" applyBorder="1" applyAlignment="1">
      <alignment horizontal="center" vertical="center" wrapText="1"/>
      <protection/>
    </xf>
    <xf numFmtId="0" fontId="2" fillId="51" borderId="61" xfId="100" applyFont="1" applyFill="1" applyBorder="1" applyAlignment="1">
      <alignment horizontal="center" wrapText="1"/>
      <protection/>
    </xf>
    <xf numFmtId="0" fontId="2" fillId="51" borderId="61" xfId="100" applyFont="1" applyFill="1" applyBorder="1">
      <alignment/>
      <protection/>
    </xf>
    <xf numFmtId="0" fontId="2" fillId="51" borderId="0" xfId="100" applyFont="1" applyFill="1" applyBorder="1">
      <alignment/>
      <protection/>
    </xf>
    <xf numFmtId="0" fontId="2" fillId="51" borderId="25" xfId="100" applyFont="1" applyFill="1" applyBorder="1" applyAlignment="1">
      <alignment horizontal="center"/>
      <protection/>
    </xf>
    <xf numFmtId="0" fontId="2" fillId="51" borderId="29" xfId="100" applyFont="1" applyFill="1" applyBorder="1" applyAlignment="1">
      <alignment horizontal="center"/>
      <protection/>
    </xf>
    <xf numFmtId="0" fontId="2" fillId="51" borderId="38" xfId="100" applyFont="1" applyFill="1" applyBorder="1" applyAlignment="1">
      <alignment horizontal="center"/>
      <protection/>
    </xf>
    <xf numFmtId="0" fontId="2" fillId="51" borderId="26" xfId="100" applyFont="1" applyFill="1" applyBorder="1" applyAlignment="1">
      <alignment horizontal="center"/>
      <protection/>
    </xf>
    <xf numFmtId="0" fontId="2" fillId="51" borderId="62" xfId="100" applyFont="1" applyFill="1" applyBorder="1">
      <alignment/>
      <protection/>
    </xf>
    <xf numFmtId="0" fontId="2" fillId="51" borderId="27" xfId="100" applyFont="1" applyFill="1" applyBorder="1" applyAlignment="1">
      <alignment horizontal="center"/>
      <protection/>
    </xf>
    <xf numFmtId="0" fontId="2" fillId="53" borderId="30" xfId="100" applyFont="1" applyFill="1" applyBorder="1" applyAlignment="1">
      <alignment horizontal="center" vertical="center"/>
      <protection/>
    </xf>
    <xf numFmtId="0" fontId="2" fillId="53" borderId="31" xfId="100" applyFont="1" applyFill="1" applyBorder="1" applyAlignment="1">
      <alignment wrapText="1"/>
      <protection/>
    </xf>
    <xf numFmtId="0" fontId="22" fillId="53" borderId="55" xfId="100" applyFont="1" applyFill="1" applyBorder="1" applyAlignment="1">
      <alignment horizontal="center" vertical="center" wrapText="1"/>
      <protection/>
    </xf>
    <xf numFmtId="4" fontId="2" fillId="0" borderId="30" xfId="100" applyNumberFormat="1" applyFont="1" applyBorder="1">
      <alignment/>
      <protection/>
    </xf>
    <xf numFmtId="4" fontId="2" fillId="0" borderId="45" xfId="100" applyNumberFormat="1" applyFont="1" applyBorder="1">
      <alignment/>
      <protection/>
    </xf>
    <xf numFmtId="4" fontId="2" fillId="0" borderId="0" xfId="100" applyNumberFormat="1" applyFont="1" applyBorder="1">
      <alignment/>
      <protection/>
    </xf>
    <xf numFmtId="4" fontId="2" fillId="0" borderId="47" xfId="100" applyNumberFormat="1" applyFont="1" applyBorder="1">
      <alignment/>
      <protection/>
    </xf>
    <xf numFmtId="0" fontId="2" fillId="0" borderId="0" xfId="100" applyFont="1" applyBorder="1" applyAlignment="1">
      <alignment horizontal="right"/>
      <protection/>
    </xf>
    <xf numFmtId="0" fontId="2" fillId="53" borderId="21" xfId="100" applyFont="1" applyFill="1" applyBorder="1" applyAlignment="1">
      <alignment horizontal="center" vertical="center"/>
      <protection/>
    </xf>
    <xf numFmtId="0" fontId="2" fillId="53" borderId="24" xfId="100" applyFont="1" applyFill="1" applyBorder="1" applyAlignment="1">
      <alignment wrapText="1"/>
      <protection/>
    </xf>
    <xf numFmtId="0" fontId="2" fillId="53" borderId="48" xfId="100" applyFont="1" applyFill="1" applyBorder="1" applyAlignment="1">
      <alignment horizontal="center" vertical="center"/>
      <protection/>
    </xf>
    <xf numFmtId="4" fontId="2" fillId="0" borderId="21" xfId="100" applyNumberFormat="1" applyFont="1" applyBorder="1">
      <alignment/>
      <protection/>
    </xf>
    <xf numFmtId="4" fontId="2" fillId="0" borderId="16" xfId="100" applyNumberFormat="1" applyFont="1" applyBorder="1">
      <alignment/>
      <protection/>
    </xf>
    <xf numFmtId="4" fontId="2" fillId="0" borderId="22" xfId="100" applyNumberFormat="1" applyFont="1" applyBorder="1">
      <alignment/>
      <protection/>
    </xf>
    <xf numFmtId="0" fontId="19" fillId="0" borderId="0" xfId="100" applyFont="1">
      <alignment/>
      <protection/>
    </xf>
    <xf numFmtId="0" fontId="2" fillId="53" borderId="48" xfId="100" applyFont="1" applyFill="1" applyBorder="1" applyAlignment="1">
      <alignment horizontal="center"/>
      <protection/>
    </xf>
    <xf numFmtId="3" fontId="19" fillId="0" borderId="0" xfId="100" applyNumberFormat="1" applyFont="1">
      <alignment/>
      <protection/>
    </xf>
    <xf numFmtId="0" fontId="2" fillId="53" borderId="24" xfId="103" applyFont="1" applyFill="1" applyBorder="1" applyAlignment="1">
      <alignment wrapText="1"/>
      <protection/>
    </xf>
    <xf numFmtId="168" fontId="2" fillId="0" borderId="21" xfId="113" applyNumberFormat="1" applyFont="1" applyBorder="1" applyAlignment="1">
      <alignment/>
    </xf>
    <xf numFmtId="168" fontId="2" fillId="0" borderId="16" xfId="113" applyNumberFormat="1" applyFont="1" applyBorder="1" applyAlignment="1">
      <alignment/>
    </xf>
    <xf numFmtId="168" fontId="2" fillId="0" borderId="22" xfId="113" applyNumberFormat="1" applyFont="1" applyBorder="1" applyAlignment="1">
      <alignment/>
    </xf>
    <xf numFmtId="0" fontId="2" fillId="53" borderId="25" xfId="100" applyFont="1" applyFill="1" applyBorder="1" applyAlignment="1">
      <alignment horizontal="center" vertical="center"/>
      <protection/>
    </xf>
    <xf numFmtId="0" fontId="2" fillId="53" borderId="29" xfId="100" applyFont="1" applyFill="1" applyBorder="1" applyAlignment="1">
      <alignment wrapText="1"/>
      <protection/>
    </xf>
    <xf numFmtId="0" fontId="2" fillId="53" borderId="38" xfId="100" applyFont="1" applyFill="1" applyBorder="1" applyAlignment="1">
      <alignment horizontal="center" vertical="center"/>
      <protection/>
    </xf>
    <xf numFmtId="4" fontId="2" fillId="0" borderId="25" xfId="100" applyNumberFormat="1" applyFont="1" applyBorder="1">
      <alignment/>
      <protection/>
    </xf>
    <xf numFmtId="4" fontId="2" fillId="0" borderId="26" xfId="100" applyNumberFormat="1" applyFont="1" applyBorder="1">
      <alignment/>
      <protection/>
    </xf>
    <xf numFmtId="4" fontId="2" fillId="0" borderId="62" xfId="100" applyNumberFormat="1" applyFont="1" applyBorder="1">
      <alignment/>
      <protection/>
    </xf>
    <xf numFmtId="4" fontId="2" fillId="0" borderId="27" xfId="100" applyNumberFormat="1" applyFont="1" applyBorder="1">
      <alignment/>
      <protection/>
    </xf>
    <xf numFmtId="16" fontId="2" fillId="0" borderId="45" xfId="100" applyNumberFormat="1" applyFont="1" applyBorder="1" applyAlignment="1">
      <alignment horizontal="center" vertical="center"/>
      <protection/>
    </xf>
    <xf numFmtId="0" fontId="2" fillId="0" borderId="45" xfId="100" applyFont="1" applyBorder="1" applyAlignment="1">
      <alignment wrapText="1"/>
      <protection/>
    </xf>
    <xf numFmtId="0" fontId="2" fillId="0" borderId="45" xfId="100" applyFont="1" applyBorder="1" applyAlignment="1">
      <alignment horizontal="center"/>
      <protection/>
    </xf>
    <xf numFmtId="164" fontId="50" fillId="0" borderId="45" xfId="100" applyNumberFormat="1" applyFont="1" applyFill="1" applyBorder="1">
      <alignment/>
      <protection/>
    </xf>
    <xf numFmtId="1" fontId="17" fillId="0" borderId="0" xfId="100" applyNumberFormat="1" applyFont="1" applyBorder="1">
      <alignment/>
      <protection/>
    </xf>
    <xf numFmtId="0" fontId="2" fillId="0" borderId="16" xfId="100" applyFont="1" applyBorder="1" applyAlignment="1">
      <alignment horizontal="center" vertical="center"/>
      <protection/>
    </xf>
    <xf numFmtId="0" fontId="2" fillId="0" borderId="16" xfId="100" applyFont="1" applyBorder="1" applyAlignment="1">
      <alignment wrapText="1"/>
      <protection/>
    </xf>
    <xf numFmtId="0" fontId="2" fillId="0" borderId="16" xfId="100" applyFont="1" applyBorder="1" applyAlignment="1">
      <alignment horizontal="center"/>
      <protection/>
    </xf>
    <xf numFmtId="1" fontId="50" fillId="0" borderId="16" xfId="100" applyNumberFormat="1" applyFont="1" applyFill="1" applyBorder="1">
      <alignment/>
      <protection/>
    </xf>
    <xf numFmtId="2" fontId="17" fillId="0" borderId="0" xfId="100" applyNumberFormat="1" applyFont="1" applyBorder="1">
      <alignment/>
      <protection/>
    </xf>
    <xf numFmtId="164" fontId="50" fillId="0" borderId="16" xfId="100" applyNumberFormat="1" applyFont="1" applyFill="1" applyBorder="1">
      <alignment/>
      <protection/>
    </xf>
    <xf numFmtId="0" fontId="2" fillId="0" borderId="0" xfId="100" applyFont="1" applyAlignment="1">
      <alignment horizontal="center"/>
      <protection/>
    </xf>
    <xf numFmtId="2" fontId="2" fillId="0" borderId="0" xfId="100" applyNumberFormat="1" applyFont="1">
      <alignment/>
      <protection/>
    </xf>
    <xf numFmtId="0" fontId="27" fillId="0" borderId="0" xfId="100" applyFont="1" applyAlignment="1">
      <alignment horizontal="left"/>
      <protection/>
    </xf>
    <xf numFmtId="4" fontId="2" fillId="0" borderId="0" xfId="100" applyNumberFormat="1" applyFont="1" applyAlignment="1">
      <alignment horizontal="center"/>
      <protection/>
    </xf>
    <xf numFmtId="0" fontId="16" fillId="0" borderId="0" xfId="102" applyFont="1" applyAlignment="1">
      <alignment horizontal="center"/>
      <protection/>
    </xf>
    <xf numFmtId="0" fontId="16" fillId="0" borderId="0" xfId="102" applyFont="1" applyBorder="1" applyAlignment="1">
      <alignment horizontal="center"/>
      <protection/>
    </xf>
    <xf numFmtId="0" fontId="2" fillId="51" borderId="63" xfId="102" applyFill="1" applyBorder="1" applyAlignment="1">
      <alignment horizontal="center" vertical="center" wrapText="1"/>
      <protection/>
    </xf>
    <xf numFmtId="0" fontId="2" fillId="51" borderId="64" xfId="102" applyFill="1" applyBorder="1" applyAlignment="1">
      <alignment horizontal="center" vertical="center" wrapText="1"/>
      <protection/>
    </xf>
    <xf numFmtId="0" fontId="2" fillId="51" borderId="55" xfId="102" applyFill="1" applyBorder="1" applyAlignment="1">
      <alignment horizontal="center" vertical="center" wrapText="1"/>
      <protection/>
    </xf>
    <xf numFmtId="0" fontId="2" fillId="51" borderId="21" xfId="102" applyFill="1" applyBorder="1" applyAlignment="1">
      <alignment horizontal="center"/>
      <protection/>
    </xf>
    <xf numFmtId="0" fontId="2" fillId="51" borderId="16" xfId="102" applyFill="1" applyBorder="1" applyAlignment="1">
      <alignment horizontal="center"/>
      <protection/>
    </xf>
    <xf numFmtId="0" fontId="2" fillId="51" borderId="45" xfId="102" applyFill="1" applyBorder="1" applyAlignment="1">
      <alignment horizontal="center"/>
      <protection/>
    </xf>
    <xf numFmtId="0" fontId="2" fillId="51" borderId="22" xfId="102" applyFill="1" applyBorder="1" applyAlignment="1">
      <alignment horizontal="center"/>
      <protection/>
    </xf>
    <xf numFmtId="0" fontId="2" fillId="51" borderId="23" xfId="102" applyFill="1" applyBorder="1" applyAlignment="1">
      <alignment horizontal="center"/>
      <protection/>
    </xf>
    <xf numFmtId="0" fontId="51" fillId="51" borderId="25" xfId="102" applyFont="1" applyFill="1" applyBorder="1" applyAlignment="1">
      <alignment horizontal="center"/>
      <protection/>
    </xf>
    <xf numFmtId="0" fontId="51" fillId="51" borderId="29" xfId="102" applyFont="1" applyFill="1" applyBorder="1" applyAlignment="1">
      <alignment horizontal="center"/>
      <protection/>
    </xf>
    <xf numFmtId="0" fontId="51" fillId="51" borderId="38" xfId="102" applyFont="1" applyFill="1" applyBorder="1" applyAlignment="1">
      <alignment horizontal="center"/>
      <protection/>
    </xf>
    <xf numFmtId="0" fontId="51" fillId="51" borderId="26" xfId="102" applyFont="1" applyFill="1" applyBorder="1" applyAlignment="1">
      <alignment horizontal="center"/>
      <protection/>
    </xf>
    <xf numFmtId="0" fontId="51" fillId="51" borderId="27" xfId="102" applyFont="1" applyFill="1" applyBorder="1" applyAlignment="1">
      <alignment horizontal="center"/>
      <protection/>
    </xf>
    <xf numFmtId="0" fontId="51" fillId="51" borderId="23" xfId="102" applyFont="1" applyFill="1" applyBorder="1" applyAlignment="1">
      <alignment horizontal="center"/>
      <protection/>
    </xf>
    <xf numFmtId="0" fontId="51" fillId="51" borderId="16" xfId="102" applyFont="1" applyFill="1" applyBorder="1" applyAlignment="1">
      <alignment horizontal="center"/>
      <protection/>
    </xf>
    <xf numFmtId="0" fontId="2" fillId="53" borderId="30" xfId="102" applyFont="1" applyFill="1" applyBorder="1" applyAlignment="1">
      <alignment vertical="top" wrapText="1"/>
      <protection/>
    </xf>
    <xf numFmtId="0" fontId="2" fillId="53" borderId="31" xfId="102" applyFont="1" applyFill="1" applyBorder="1" applyAlignment="1">
      <alignment vertical="top" wrapText="1"/>
      <protection/>
    </xf>
    <xf numFmtId="0" fontId="2" fillId="53" borderId="55" xfId="102" applyFont="1" applyFill="1" applyBorder="1" applyAlignment="1">
      <alignment horizontal="center" vertical="center" wrapText="1"/>
      <protection/>
    </xf>
    <xf numFmtId="164" fontId="2" fillId="0" borderId="30" xfId="102" applyNumberFormat="1" applyFont="1" applyBorder="1" applyAlignment="1">
      <alignment vertical="center" wrapText="1"/>
      <protection/>
    </xf>
    <xf numFmtId="164" fontId="2" fillId="0" borderId="45" xfId="102" applyNumberFormat="1" applyFont="1" applyBorder="1" applyAlignment="1">
      <alignment vertical="center" wrapText="1"/>
      <protection/>
    </xf>
    <xf numFmtId="164" fontId="2" fillId="0" borderId="47" xfId="102" applyNumberFormat="1" applyFont="1" applyBorder="1" applyAlignment="1">
      <alignment vertical="center" wrapText="1"/>
      <protection/>
    </xf>
    <xf numFmtId="0" fontId="2" fillId="0" borderId="23" xfId="102" applyBorder="1" applyAlignment="1">
      <alignment wrapText="1"/>
      <protection/>
    </xf>
    <xf numFmtId="0" fontId="2" fillId="0" borderId="16" xfId="102" applyBorder="1" applyAlignment="1">
      <alignment wrapText="1"/>
      <protection/>
    </xf>
    <xf numFmtId="0" fontId="2" fillId="53" borderId="21" xfId="102" applyFont="1" applyFill="1" applyBorder="1" applyAlignment="1">
      <alignment vertical="top" wrapText="1"/>
      <protection/>
    </xf>
    <xf numFmtId="0" fontId="2" fillId="53" borderId="24" xfId="102" applyFont="1" applyFill="1" applyBorder="1" applyAlignment="1">
      <alignment vertical="top" wrapText="1"/>
      <protection/>
    </xf>
    <xf numFmtId="0" fontId="2" fillId="53" borderId="48" xfId="102" applyFont="1" applyFill="1" applyBorder="1" applyAlignment="1">
      <alignment horizontal="center" vertical="center" wrapText="1"/>
      <protection/>
    </xf>
    <xf numFmtId="164" fontId="2" fillId="0" borderId="21" xfId="102" applyNumberFormat="1" applyFont="1" applyBorder="1" applyAlignment="1">
      <alignment vertical="center" wrapText="1"/>
      <protection/>
    </xf>
    <xf numFmtId="164" fontId="2" fillId="0" borderId="16" xfId="102" applyNumberFormat="1" applyFont="1" applyBorder="1" applyAlignment="1">
      <alignment vertical="center" wrapText="1"/>
      <protection/>
    </xf>
    <xf numFmtId="164" fontId="2" fillId="0" borderId="22" xfId="102" applyNumberFormat="1" applyFont="1" applyBorder="1" applyAlignment="1">
      <alignment vertical="center" wrapText="1"/>
      <protection/>
    </xf>
    <xf numFmtId="0" fontId="51" fillId="53" borderId="48" xfId="102" applyFont="1" applyFill="1" applyBorder="1" applyAlignment="1">
      <alignment horizontal="center" vertical="center" wrapText="1"/>
      <protection/>
    </xf>
    <xf numFmtId="0" fontId="2" fillId="0" borderId="16" xfId="102" applyFont="1" applyBorder="1" applyAlignment="1">
      <alignment vertical="center" wrapText="1"/>
      <protection/>
    </xf>
    <xf numFmtId="0" fontId="2" fillId="0" borderId="21" xfId="102" applyFont="1" applyBorder="1" applyAlignment="1">
      <alignment vertical="center" wrapText="1"/>
      <protection/>
    </xf>
    <xf numFmtId="0" fontId="2" fillId="0" borderId="22" xfId="102" applyFont="1" applyBorder="1" applyAlignment="1">
      <alignment vertical="center" wrapText="1"/>
      <protection/>
    </xf>
    <xf numFmtId="0" fontId="2" fillId="0" borderId="16" xfId="102" applyFont="1" applyBorder="1" applyAlignment="1">
      <alignment horizontal="center" vertical="center" wrapText="1"/>
      <protection/>
    </xf>
    <xf numFmtId="0" fontId="2" fillId="53" borderId="25" xfId="102" applyFont="1" applyFill="1" applyBorder="1" applyAlignment="1">
      <alignment vertical="top" wrapText="1"/>
      <protection/>
    </xf>
    <xf numFmtId="0" fontId="2" fillId="53" borderId="29" xfId="102" applyFont="1" applyFill="1" applyBorder="1" applyAlignment="1">
      <alignment vertical="top" wrapText="1"/>
      <protection/>
    </xf>
    <xf numFmtId="0" fontId="51" fillId="53" borderId="38" xfId="102" applyFont="1" applyFill="1" applyBorder="1" applyAlignment="1">
      <alignment horizontal="center" vertical="center" wrapText="1"/>
      <protection/>
    </xf>
    <xf numFmtId="0" fontId="2" fillId="0" borderId="26" xfId="102" applyFont="1" applyBorder="1" applyAlignment="1">
      <alignment vertical="center" wrapText="1"/>
      <protection/>
    </xf>
    <xf numFmtId="0" fontId="2" fillId="0" borderId="23" xfId="102" applyBorder="1">
      <alignment/>
      <protection/>
    </xf>
    <xf numFmtId="0" fontId="2" fillId="0" borderId="0" xfId="102" applyFont="1" applyBorder="1" applyAlignment="1">
      <alignment wrapText="1"/>
      <protection/>
    </xf>
    <xf numFmtId="0" fontId="51" fillId="0" borderId="0" xfId="102" applyFont="1" applyBorder="1" applyAlignment="1">
      <alignment horizontal="center" wrapText="1"/>
      <protection/>
    </xf>
    <xf numFmtId="0" fontId="2" fillId="0" borderId="0" xfId="102" applyBorder="1" applyAlignment="1">
      <alignment wrapText="1"/>
      <protection/>
    </xf>
    <xf numFmtId="0" fontId="27" fillId="0" borderId="0" xfId="102" applyFont="1" applyAlignment="1">
      <alignment horizontal="center"/>
      <protection/>
    </xf>
    <xf numFmtId="0" fontId="7" fillId="0" borderId="0" xfId="104" applyFont="1" applyAlignment="1">
      <alignment horizontal="center"/>
      <protection/>
    </xf>
    <xf numFmtId="0" fontId="7" fillId="0" borderId="0" xfId="104" applyFont="1">
      <alignment/>
      <protection/>
    </xf>
    <xf numFmtId="0" fontId="6" fillId="0" borderId="62" xfId="104" applyFont="1" applyBorder="1" applyAlignment="1">
      <alignment/>
      <protection/>
    </xf>
    <xf numFmtId="49" fontId="54" fillId="0" borderId="41" xfId="91" applyNumberFormat="1" applyFont="1" applyBorder="1" applyAlignment="1">
      <alignment horizontal="center" vertical="center" wrapText="1"/>
      <protection/>
    </xf>
    <xf numFmtId="0" fontId="54" fillId="0" borderId="42" xfId="91" applyFont="1" applyBorder="1" applyAlignment="1">
      <alignment horizontal="center" vertical="center" wrapText="1"/>
      <protection/>
    </xf>
    <xf numFmtId="0" fontId="54" fillId="0" borderId="43" xfId="91" applyFont="1" applyBorder="1" applyAlignment="1">
      <alignment horizontal="center" vertical="center" wrapText="1"/>
      <protection/>
    </xf>
    <xf numFmtId="0" fontId="6" fillId="0" borderId="65" xfId="97" applyFont="1" applyBorder="1" applyAlignment="1">
      <alignment horizontal="center" vertical="center" wrapText="1"/>
      <protection/>
    </xf>
    <xf numFmtId="0" fontId="54" fillId="54" borderId="42" xfId="91" applyFont="1" applyFill="1" applyBorder="1" applyAlignment="1">
      <alignment horizontal="center" vertical="center" wrapText="1"/>
      <protection/>
    </xf>
    <xf numFmtId="0" fontId="7" fillId="0" borderId="21" xfId="104" applyFont="1" applyBorder="1" applyAlignment="1">
      <alignment horizontal="center" vertical="center" wrapText="1"/>
      <protection/>
    </xf>
    <xf numFmtId="0" fontId="7" fillId="0" borderId="16" xfId="104" applyFont="1" applyBorder="1" applyAlignment="1">
      <alignment vertical="center" wrapText="1"/>
      <protection/>
    </xf>
    <xf numFmtId="0" fontId="7" fillId="0" borderId="16" xfId="104" applyFont="1" applyBorder="1" applyAlignment="1">
      <alignment horizontal="center" vertical="center" wrapText="1"/>
      <protection/>
    </xf>
    <xf numFmtId="9" fontId="7" fillId="0" borderId="16" xfId="113" applyFont="1" applyBorder="1" applyAlignment="1">
      <alignment horizontal="center" vertical="center" wrapText="1"/>
    </xf>
    <xf numFmtId="166" fontId="55" fillId="0" borderId="16" xfId="97" applyNumberFormat="1" applyFont="1" applyFill="1" applyBorder="1" applyAlignment="1" applyProtection="1">
      <alignment horizontal="center" vertical="center" wrapText="1"/>
      <protection locked="0"/>
    </xf>
    <xf numFmtId="2" fontId="7" fillId="0" borderId="16" xfId="104" applyNumberFormat="1" applyFont="1" applyBorder="1" applyAlignment="1">
      <alignment horizontal="center" vertical="center" wrapText="1"/>
      <protection/>
    </xf>
    <xf numFmtId="0" fontId="7" fillId="51" borderId="25" xfId="104" applyFont="1" applyFill="1" applyBorder="1" applyAlignment="1">
      <alignment horizontal="center" vertical="center" wrapText="1"/>
      <protection/>
    </xf>
    <xf numFmtId="0" fontId="7" fillId="51" borderId="26" xfId="104" applyFont="1" applyFill="1" applyBorder="1" applyAlignment="1">
      <alignment vertical="center" wrapText="1"/>
      <protection/>
    </xf>
    <xf numFmtId="0" fontId="7" fillId="51" borderId="26" xfId="104" applyFont="1" applyFill="1" applyBorder="1" applyAlignment="1">
      <alignment horizontal="center" vertical="center" wrapText="1"/>
      <protection/>
    </xf>
    <xf numFmtId="167" fontId="7" fillId="51" borderId="26" xfId="104" applyNumberFormat="1" applyFont="1" applyFill="1" applyBorder="1" applyAlignment="1">
      <alignment horizontal="center" vertical="center" wrapText="1"/>
      <protection/>
    </xf>
    <xf numFmtId="0" fontId="7" fillId="0" borderId="0" xfId="104" applyFont="1" applyFill="1">
      <alignment/>
      <protection/>
    </xf>
    <xf numFmtId="0" fontId="7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vertical="center" wrapText="1"/>
      <protection/>
    </xf>
    <xf numFmtId="0" fontId="7" fillId="0" borderId="0" xfId="104" applyFont="1" applyAlignment="1">
      <alignment horizontal="center" vertical="center"/>
      <protection/>
    </xf>
    <xf numFmtId="0" fontId="7" fillId="0" borderId="0" xfId="104" applyFont="1" applyAlignment="1">
      <alignment vertical="center"/>
      <protection/>
    </xf>
    <xf numFmtId="0" fontId="7" fillId="0" borderId="0" xfId="104" applyFont="1" applyAlignment="1">
      <alignment wrapText="1"/>
      <protection/>
    </xf>
    <xf numFmtId="49" fontId="7" fillId="0" borderId="21" xfId="97" applyNumberFormat="1" applyFont="1" applyFill="1" applyBorder="1" applyAlignment="1">
      <alignment horizontal="center" vertical="center" wrapText="1"/>
      <protection/>
    </xf>
    <xf numFmtId="0" fontId="56" fillId="0" borderId="16" xfId="97" applyFont="1" applyFill="1" applyBorder="1" applyAlignment="1">
      <alignment vertical="center" wrapText="1"/>
      <protection/>
    </xf>
    <xf numFmtId="0" fontId="56" fillId="0" borderId="22" xfId="97" applyFont="1" applyFill="1" applyBorder="1" applyAlignment="1">
      <alignment horizontal="center" vertical="center" wrapText="1"/>
      <protection/>
    </xf>
    <xf numFmtId="4" fontId="56" fillId="0" borderId="23" xfId="120" applyNumberFormat="1" applyFont="1" applyFill="1" applyBorder="1" applyAlignment="1">
      <alignment horizontal="center" vertical="center" wrapText="1"/>
      <protection/>
    </xf>
    <xf numFmtId="4" fontId="56" fillId="0" borderId="16" xfId="120" applyNumberFormat="1" applyFont="1" applyFill="1" applyBorder="1" applyAlignment="1">
      <alignment horizontal="center" vertical="center" wrapText="1"/>
      <protection/>
    </xf>
    <xf numFmtId="4" fontId="56" fillId="0" borderId="23" xfId="120" applyNumberFormat="1" applyFont="1" applyFill="1" applyBorder="1" applyAlignment="1" applyProtection="1">
      <alignment horizontal="center" vertical="center" wrapText="1"/>
      <protection locked="0"/>
    </xf>
    <xf numFmtId="0" fontId="56" fillId="0" borderId="16" xfId="97" applyFont="1" applyFill="1" applyBorder="1" applyAlignment="1">
      <alignment horizontal="left" vertical="center" wrapText="1"/>
      <protection/>
    </xf>
    <xf numFmtId="4" fontId="7" fillId="0" borderId="23" xfId="12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97" applyFont="1" applyFill="1" applyBorder="1" applyAlignment="1">
      <alignment horizontal="left" vertical="center" wrapText="1"/>
      <protection/>
    </xf>
    <xf numFmtId="0" fontId="7" fillId="0" borderId="22" xfId="97" applyFont="1" applyFill="1" applyBorder="1" applyAlignment="1">
      <alignment horizontal="center" vertical="center" wrapText="1"/>
      <protection/>
    </xf>
    <xf numFmtId="4" fontId="7" fillId="0" borderId="23" xfId="120" applyNumberFormat="1" applyFont="1" applyFill="1" applyBorder="1" applyAlignment="1">
      <alignment horizontal="center" vertical="center" wrapText="1"/>
      <protection/>
    </xf>
    <xf numFmtId="4" fontId="7" fillId="0" borderId="16" xfId="120" applyNumberFormat="1" applyFont="1" applyFill="1" applyBorder="1" applyAlignment="1">
      <alignment horizontal="right" vertical="center" wrapText="1"/>
      <protection/>
    </xf>
    <xf numFmtId="0" fontId="58" fillId="0" borderId="16" xfId="97" applyFont="1" applyFill="1" applyBorder="1" applyAlignment="1">
      <alignment horizontal="left" vertical="center" wrapText="1"/>
      <protection/>
    </xf>
    <xf numFmtId="4" fontId="7" fillId="0" borderId="16" xfId="120" applyNumberFormat="1" applyFont="1" applyFill="1" applyBorder="1" applyAlignment="1" applyProtection="1">
      <alignment horizontal="right" vertical="center" wrapText="1"/>
      <protection locked="0"/>
    </xf>
    <xf numFmtId="49" fontId="7" fillId="0" borderId="34" xfId="97" applyNumberFormat="1" applyFont="1" applyFill="1" applyBorder="1" applyAlignment="1">
      <alignment horizontal="center" vertical="center" wrapText="1"/>
      <protection/>
    </xf>
    <xf numFmtId="0" fontId="56" fillId="0" borderId="39" xfId="97" applyFont="1" applyFill="1" applyBorder="1" applyAlignment="1">
      <alignment horizontal="left" vertical="center" wrapText="1"/>
      <protection/>
    </xf>
    <xf numFmtId="4" fontId="7" fillId="0" borderId="66" xfId="120" applyNumberFormat="1" applyFont="1" applyFill="1" applyBorder="1" applyAlignment="1" applyProtection="1">
      <alignment horizontal="center" vertical="center" wrapText="1"/>
      <protection locked="0"/>
    </xf>
    <xf numFmtId="0" fontId="58" fillId="0" borderId="16" xfId="97" applyFont="1" applyFill="1" applyBorder="1" applyAlignment="1">
      <alignment vertical="center" wrapText="1"/>
      <protection/>
    </xf>
    <xf numFmtId="0" fontId="58" fillId="0" borderId="39" xfId="97" applyFont="1" applyFill="1" applyBorder="1" applyAlignment="1">
      <alignment vertical="center" wrapText="1"/>
      <protection/>
    </xf>
    <xf numFmtId="0" fontId="41" fillId="0" borderId="16" xfId="104" applyFont="1" applyBorder="1" applyAlignment="1">
      <alignment vertical="center"/>
      <protection/>
    </xf>
    <xf numFmtId="0" fontId="58" fillId="0" borderId="39" xfId="97" applyFont="1" applyFill="1" applyBorder="1" applyAlignment="1">
      <alignment horizontal="left" vertical="center" wrapText="1"/>
      <protection/>
    </xf>
    <xf numFmtId="4" fontId="7" fillId="0" borderId="39" xfId="120" applyNumberFormat="1" applyFont="1" applyFill="1" applyBorder="1" applyAlignment="1" applyProtection="1">
      <alignment horizontal="right" vertical="center" wrapText="1"/>
      <protection locked="0"/>
    </xf>
    <xf numFmtId="0" fontId="7" fillId="0" borderId="40" xfId="97" applyFont="1" applyFill="1" applyBorder="1" applyAlignment="1">
      <alignment horizontal="center" vertical="center" wrapText="1"/>
      <protection/>
    </xf>
    <xf numFmtId="4" fontId="56" fillId="0" borderId="39" xfId="120" applyNumberFormat="1" applyFont="1" applyFill="1" applyBorder="1" applyAlignment="1">
      <alignment horizontal="center" vertical="center" wrapText="1"/>
      <protection/>
    </xf>
    <xf numFmtId="49" fontId="59" fillId="0" borderId="51" xfId="97" applyNumberFormat="1" applyFont="1" applyFill="1" applyBorder="1" applyAlignment="1">
      <alignment horizontal="center" vertical="center" wrapText="1"/>
      <protection/>
    </xf>
    <xf numFmtId="0" fontId="54" fillId="0" borderId="52" xfId="97" applyFont="1" applyFill="1" applyBorder="1" applyAlignment="1">
      <alignment vertical="center" wrapText="1"/>
      <protection/>
    </xf>
    <xf numFmtId="0" fontId="54" fillId="0" borderId="53" xfId="97" applyFont="1" applyFill="1" applyBorder="1" applyAlignment="1">
      <alignment horizontal="center" vertical="center" wrapText="1"/>
      <protection/>
    </xf>
    <xf numFmtId="4" fontId="6" fillId="0" borderId="67" xfId="120" applyNumberFormat="1" applyFont="1" applyFill="1" applyBorder="1" applyAlignment="1">
      <alignment horizontal="center" vertical="center" wrapText="1"/>
      <protection/>
    </xf>
    <xf numFmtId="4" fontId="54" fillId="0" borderId="52" xfId="120" applyNumberFormat="1" applyFont="1" applyFill="1" applyBorder="1" applyAlignment="1">
      <alignment horizontal="center" vertical="center" wrapText="1"/>
      <protection/>
    </xf>
    <xf numFmtId="0" fontId="7" fillId="0" borderId="0" xfId="97" applyFont="1" applyFill="1" applyAlignment="1">
      <alignment horizontal="center" vertical="center" wrapText="1"/>
      <protection/>
    </xf>
    <xf numFmtId="0" fontId="7" fillId="0" borderId="0" xfId="97" applyFont="1" applyFill="1" applyAlignment="1">
      <alignment vertical="center" wrapText="1"/>
      <protection/>
    </xf>
    <xf numFmtId="49" fontId="54" fillId="0" borderId="41" xfId="91" applyNumberFormat="1" applyFont="1" applyFill="1" applyBorder="1" applyAlignment="1">
      <alignment horizontal="center" vertical="center" wrapText="1"/>
      <protection/>
    </xf>
    <xf numFmtId="0" fontId="54" fillId="0" borderId="42" xfId="91" applyFont="1" applyFill="1" applyBorder="1" applyAlignment="1">
      <alignment horizontal="center" vertical="center" wrapText="1"/>
      <protection/>
    </xf>
    <xf numFmtId="0" fontId="54" fillId="0" borderId="43" xfId="91" applyFont="1" applyFill="1" applyBorder="1" applyAlignment="1">
      <alignment horizontal="center" vertical="center" wrapText="1"/>
      <protection/>
    </xf>
    <xf numFmtId="49" fontId="7" fillId="0" borderId="21" xfId="91" applyNumberFormat="1" applyFont="1" applyFill="1" applyBorder="1" applyAlignment="1">
      <alignment horizontal="center" vertical="center" wrapText="1"/>
      <protection/>
    </xf>
    <xf numFmtId="0" fontId="56" fillId="0" borderId="16" xfId="91" applyFont="1" applyFill="1" applyBorder="1" applyAlignment="1">
      <alignment horizontal="left" vertical="center" wrapText="1"/>
      <protection/>
    </xf>
    <xf numFmtId="0" fontId="56" fillId="0" borderId="22" xfId="91" applyFont="1" applyFill="1" applyBorder="1" applyAlignment="1">
      <alignment horizontal="center" vertical="center" wrapText="1"/>
      <protection/>
    </xf>
    <xf numFmtId="4" fontId="56" fillId="0" borderId="23" xfId="91" applyNumberFormat="1" applyFont="1" applyFill="1" applyBorder="1" applyAlignment="1" applyProtection="1">
      <alignment horizontal="center" vertical="center" wrapText="1"/>
      <protection locked="0"/>
    </xf>
    <xf numFmtId="4" fontId="56" fillId="0" borderId="16" xfId="9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97" applyNumberFormat="1" applyFont="1" applyFill="1" applyBorder="1" applyAlignment="1">
      <alignment horizontal="center" vertical="center"/>
      <protection/>
    </xf>
    <xf numFmtId="4" fontId="7" fillId="0" borderId="23" xfId="120" applyNumberFormat="1" applyFont="1" applyFill="1" applyBorder="1" applyAlignment="1" applyProtection="1">
      <alignment horizontal="center" vertical="center"/>
      <protection locked="0"/>
    </xf>
    <xf numFmtId="4" fontId="7" fillId="0" borderId="16" xfId="120" applyNumberFormat="1" applyFont="1" applyFill="1" applyBorder="1" applyAlignment="1" applyProtection="1">
      <alignment horizontal="center" vertical="center"/>
      <protection locked="0"/>
    </xf>
    <xf numFmtId="4" fontId="56" fillId="0" borderId="23" xfId="119" applyNumberFormat="1" applyFont="1" applyFill="1" applyBorder="1" applyAlignment="1">
      <alignment horizontal="center" vertical="center"/>
      <protection/>
    </xf>
    <xf numFmtId="4" fontId="7" fillId="0" borderId="23" xfId="119" applyNumberFormat="1" applyFont="1" applyFill="1" applyBorder="1" applyAlignment="1" applyProtection="1">
      <alignment horizontal="center" vertical="center"/>
      <protection locked="0"/>
    </xf>
    <xf numFmtId="4" fontId="7" fillId="0" borderId="16" xfId="119" applyNumberFormat="1" applyFont="1" applyFill="1" applyBorder="1" applyAlignment="1" applyProtection="1">
      <alignment horizontal="center" vertical="center"/>
      <protection locked="0"/>
    </xf>
    <xf numFmtId="49" fontId="7" fillId="0" borderId="25" xfId="97" applyNumberFormat="1" applyFont="1" applyFill="1" applyBorder="1" applyAlignment="1">
      <alignment horizontal="center" vertical="center"/>
      <protection/>
    </xf>
    <xf numFmtId="0" fontId="56" fillId="0" borderId="26" xfId="97" applyFont="1" applyFill="1" applyBorder="1" applyAlignment="1">
      <alignment vertical="center" wrapText="1"/>
      <protection/>
    </xf>
    <xf numFmtId="0" fontId="56" fillId="0" borderId="27" xfId="97" applyFont="1" applyFill="1" applyBorder="1" applyAlignment="1">
      <alignment horizontal="center" vertical="center" wrapText="1"/>
      <protection/>
    </xf>
    <xf numFmtId="4" fontId="7" fillId="0" borderId="66" xfId="120" applyNumberFormat="1" applyFont="1" applyFill="1" applyBorder="1" applyAlignment="1" applyProtection="1">
      <alignment horizontal="center" vertical="center"/>
      <protection locked="0"/>
    </xf>
    <xf numFmtId="4" fontId="7" fillId="0" borderId="39" xfId="120" applyNumberFormat="1" applyFont="1" applyFill="1" applyBorder="1" applyAlignment="1" applyProtection="1">
      <alignment horizontal="center" vertical="center"/>
      <protection locked="0"/>
    </xf>
    <xf numFmtId="49" fontId="54" fillId="0" borderId="68" xfId="97" applyNumberFormat="1" applyFont="1" applyFill="1" applyBorder="1" applyAlignment="1">
      <alignment horizontal="center" vertical="center"/>
      <protection/>
    </xf>
    <xf numFmtId="0" fontId="54" fillId="0" borderId="62" xfId="97" applyFont="1" applyFill="1" applyBorder="1" applyAlignment="1">
      <alignment horizontal="center" vertical="center" wrapText="1"/>
      <protection/>
    </xf>
    <xf numFmtId="4" fontId="6" fillId="0" borderId="51" xfId="120" applyNumberFormat="1" applyFont="1" applyFill="1" applyBorder="1" applyAlignment="1">
      <alignment horizontal="center" vertical="center"/>
      <protection/>
    </xf>
    <xf numFmtId="4" fontId="6" fillId="0" borderId="52" xfId="120" applyNumberFormat="1" applyFont="1" applyFill="1" applyBorder="1" applyAlignment="1">
      <alignment horizontal="center" vertical="center"/>
      <protection/>
    </xf>
    <xf numFmtId="0" fontId="7" fillId="0" borderId="0" xfId="97" applyFont="1" applyFill="1" applyAlignment="1">
      <alignment horizontal="center" vertical="center"/>
      <protection/>
    </xf>
    <xf numFmtId="0" fontId="7" fillId="0" borderId="0" xfId="97" applyFont="1" applyFill="1" applyAlignment="1">
      <alignment vertical="center"/>
      <protection/>
    </xf>
    <xf numFmtId="0" fontId="6" fillId="0" borderId="42" xfId="97" applyFont="1" applyBorder="1" applyAlignment="1">
      <alignment horizontal="center" vertical="center" wrapText="1"/>
      <protection/>
    </xf>
    <xf numFmtId="0" fontId="7" fillId="0" borderId="25" xfId="97" applyFont="1" applyFill="1" applyBorder="1" applyAlignment="1">
      <alignment horizontal="center" vertical="center"/>
      <protection/>
    </xf>
    <xf numFmtId="0" fontId="54" fillId="0" borderId="26" xfId="97" applyFont="1" applyFill="1" applyBorder="1" applyAlignment="1">
      <alignment vertical="center" wrapText="1"/>
      <protection/>
    </xf>
    <xf numFmtId="0" fontId="54" fillId="0" borderId="26" xfId="97" applyFont="1" applyFill="1" applyBorder="1" applyAlignment="1">
      <alignment horizontal="center" vertical="center" wrapText="1"/>
      <protection/>
    </xf>
    <xf numFmtId="4" fontId="6" fillId="0" borderId="26" xfId="97" applyNumberFormat="1" applyFont="1" applyFill="1" applyBorder="1" applyAlignment="1" applyProtection="1">
      <alignment horizontal="center" vertical="center"/>
      <protection locked="0"/>
    </xf>
    <xf numFmtId="4" fontId="6" fillId="0" borderId="26" xfId="97" applyNumberFormat="1" applyFont="1" applyFill="1" applyBorder="1" applyAlignment="1">
      <alignment horizontal="center" vertical="center"/>
      <protection/>
    </xf>
    <xf numFmtId="166" fontId="7" fillId="0" borderId="0" xfId="97" applyNumberFormat="1" applyFont="1" applyFill="1" applyAlignment="1">
      <alignment vertical="center"/>
      <protection/>
    </xf>
    <xf numFmtId="0" fontId="6" fillId="0" borderId="26" xfId="97" applyFont="1" applyFill="1" applyBorder="1" applyAlignment="1">
      <alignment vertical="center"/>
      <protection/>
    </xf>
    <xf numFmtId="4" fontId="6" fillId="51" borderId="26" xfId="97" applyNumberFormat="1" applyFont="1" applyFill="1" applyBorder="1" applyAlignment="1">
      <alignment horizontal="center" vertical="center"/>
      <protection/>
    </xf>
    <xf numFmtId="0" fontId="7" fillId="0" borderId="0" xfId="97" applyFont="1" applyFill="1">
      <alignment/>
      <protection/>
    </xf>
    <xf numFmtId="4" fontId="7" fillId="0" borderId="0" xfId="97" applyNumberFormat="1" applyFont="1" applyFill="1">
      <alignment/>
      <protection/>
    </xf>
    <xf numFmtId="0" fontId="28" fillId="0" borderId="0" xfId="104" applyFont="1">
      <alignment/>
      <protection/>
    </xf>
    <xf numFmtId="0" fontId="28" fillId="0" borderId="0" xfId="97" applyFont="1" applyFill="1">
      <alignment/>
      <protection/>
    </xf>
    <xf numFmtId="3" fontId="28" fillId="0" borderId="0" xfId="97" applyNumberFormat="1" applyFont="1" applyFill="1">
      <alignment/>
      <protection/>
    </xf>
    <xf numFmtId="4" fontId="7" fillId="0" borderId="30" xfId="105" applyNumberFormat="1" applyFont="1" applyBorder="1">
      <alignment/>
      <protection/>
    </xf>
    <xf numFmtId="4" fontId="76" fillId="0" borderId="47" xfId="105" applyNumberFormat="1" applyFont="1" applyBorder="1">
      <alignment/>
      <protection/>
    </xf>
    <xf numFmtId="4" fontId="56" fillId="0" borderId="41" xfId="105" applyNumberFormat="1" applyFont="1" applyBorder="1">
      <alignment/>
      <protection/>
    </xf>
    <xf numFmtId="4" fontId="76" fillId="0" borderId="43" xfId="105" applyNumberFormat="1" applyFont="1" applyBorder="1">
      <alignment/>
      <protection/>
    </xf>
    <xf numFmtId="4" fontId="7" fillId="0" borderId="41" xfId="105" applyNumberFormat="1" applyFont="1" applyBorder="1">
      <alignment/>
      <protection/>
    </xf>
    <xf numFmtId="4" fontId="7" fillId="0" borderId="21" xfId="105" applyNumberFormat="1" applyFont="1" applyBorder="1">
      <alignment/>
      <protection/>
    </xf>
    <xf numFmtId="4" fontId="76" fillId="0" borderId="22" xfId="105" applyNumberFormat="1" applyFont="1" applyBorder="1">
      <alignment/>
      <protection/>
    </xf>
    <xf numFmtId="4" fontId="56" fillId="0" borderId="21" xfId="105" applyNumberFormat="1" applyFont="1" applyBorder="1">
      <alignment/>
      <protection/>
    </xf>
    <xf numFmtId="4" fontId="76" fillId="0" borderId="21" xfId="105" applyNumberFormat="1" applyFont="1" applyBorder="1">
      <alignment/>
      <protection/>
    </xf>
    <xf numFmtId="4" fontId="7" fillId="0" borderId="21" xfId="105" applyNumberFormat="1" applyFont="1" applyFill="1" applyBorder="1">
      <alignment/>
      <protection/>
    </xf>
    <xf numFmtId="4" fontId="6" fillId="0" borderId="21" xfId="105" applyNumberFormat="1" applyFont="1" applyBorder="1">
      <alignment/>
      <protection/>
    </xf>
    <xf numFmtId="4" fontId="59" fillId="0" borderId="22" xfId="105" applyNumberFormat="1" applyFont="1" applyBorder="1">
      <alignment/>
      <protection/>
    </xf>
    <xf numFmtId="4" fontId="6" fillId="0" borderId="22" xfId="105" applyNumberFormat="1" applyFont="1" applyBorder="1">
      <alignment/>
      <protection/>
    </xf>
    <xf numFmtId="4" fontId="59" fillId="0" borderId="21" xfId="105" applyNumberFormat="1" applyFont="1" applyBorder="1">
      <alignment/>
      <protection/>
    </xf>
    <xf numFmtId="4" fontId="76" fillId="0" borderId="25" xfId="105" applyNumberFormat="1" applyFont="1" applyBorder="1">
      <alignment/>
      <protection/>
    </xf>
    <xf numFmtId="4" fontId="76" fillId="0" borderId="27" xfId="105" applyNumberFormat="1" applyFont="1" applyBorder="1">
      <alignment/>
      <protection/>
    </xf>
    <xf numFmtId="0" fontId="29" fillId="51" borderId="16" xfId="105" applyFont="1" applyFill="1" applyBorder="1" applyAlignment="1">
      <alignment horizontal="center"/>
      <protection/>
    </xf>
    <xf numFmtId="0" fontId="34" fillId="51" borderId="26" xfId="105" applyFont="1" applyFill="1" applyBorder="1" applyAlignment="1">
      <alignment horizontal="center" wrapText="1"/>
      <protection/>
    </xf>
    <xf numFmtId="4" fontId="43" fillId="0" borderId="45" xfId="105" applyNumberFormat="1" applyFont="1" applyFill="1" applyBorder="1" applyAlignment="1">
      <alignment wrapText="1"/>
      <protection/>
    </xf>
    <xf numFmtId="4" fontId="47" fillId="0" borderId="16" xfId="105" applyNumberFormat="1" applyFont="1" applyFill="1" applyBorder="1" applyAlignment="1">
      <alignment wrapText="1"/>
      <protection/>
    </xf>
    <xf numFmtId="4" fontId="46" fillId="0" borderId="16" xfId="105" applyNumberFormat="1" applyFont="1" applyFill="1" applyBorder="1" applyAlignment="1">
      <alignment wrapText="1"/>
      <protection/>
    </xf>
    <xf numFmtId="4" fontId="45" fillId="0" borderId="16" xfId="105" applyNumberFormat="1" applyFont="1" applyFill="1" applyBorder="1" applyAlignment="1">
      <alignment wrapText="1"/>
      <protection/>
    </xf>
    <xf numFmtId="4" fontId="43" fillId="0" borderId="16" xfId="105" applyNumberFormat="1" applyFont="1" applyFill="1" applyBorder="1" applyAlignment="1">
      <alignment horizontal="right" wrapText="1"/>
      <protection/>
    </xf>
    <xf numFmtId="4" fontId="45" fillId="0" borderId="16" xfId="105" applyNumberFormat="1" applyFont="1" applyFill="1" applyBorder="1" applyAlignment="1">
      <alignment horizontal="right" wrapText="1"/>
      <protection/>
    </xf>
    <xf numFmtId="4" fontId="45" fillId="0" borderId="26" xfId="105" applyNumberFormat="1" applyFont="1" applyFill="1" applyBorder="1" applyAlignment="1">
      <alignment wrapText="1"/>
      <protection/>
    </xf>
    <xf numFmtId="4" fontId="46" fillId="0" borderId="24" xfId="105" applyNumberFormat="1" applyFont="1" applyFill="1" applyBorder="1" applyAlignment="1">
      <alignment wrapText="1"/>
      <protection/>
    </xf>
    <xf numFmtId="4" fontId="45" fillId="0" borderId="24" xfId="105" applyNumberFormat="1" applyFont="1" applyFill="1" applyBorder="1" applyAlignment="1">
      <alignment wrapText="1"/>
      <protection/>
    </xf>
    <xf numFmtId="4" fontId="45" fillId="0" borderId="24" xfId="105" applyNumberFormat="1" applyFont="1" applyFill="1" applyBorder="1" applyAlignment="1">
      <alignment horizontal="right" wrapText="1"/>
      <protection/>
    </xf>
    <xf numFmtId="4" fontId="45" fillId="0" borderId="29" xfId="105" applyNumberFormat="1" applyFont="1" applyFill="1" applyBorder="1" applyAlignment="1">
      <alignment wrapText="1"/>
      <protection/>
    </xf>
    <xf numFmtId="4" fontId="47" fillId="0" borderId="21" xfId="105" applyNumberFormat="1" applyFont="1" applyFill="1" applyBorder="1" applyAlignment="1">
      <alignment wrapText="1"/>
      <protection/>
    </xf>
    <xf numFmtId="4" fontId="2" fillId="0" borderId="25" xfId="105" applyNumberFormat="1" applyFont="1" applyFill="1" applyBorder="1" applyAlignment="1">
      <alignment wrapText="1"/>
      <protection/>
    </xf>
    <xf numFmtId="167" fontId="5" fillId="0" borderId="30" xfId="98" applyNumberFormat="1" applyFont="1" applyBorder="1" applyAlignment="1">
      <alignment horizontal="center"/>
      <protection/>
    </xf>
    <xf numFmtId="167" fontId="5" fillId="0" borderId="45" xfId="98" applyNumberFormat="1" applyFont="1" applyBorder="1" applyAlignment="1">
      <alignment horizontal="center"/>
      <protection/>
    </xf>
    <xf numFmtId="167" fontId="5" fillId="0" borderId="47" xfId="98" applyNumberFormat="1" applyFont="1" applyBorder="1" applyAlignment="1">
      <alignment horizontal="center"/>
      <protection/>
    </xf>
    <xf numFmtId="167" fontId="10" fillId="0" borderId="45" xfId="98" applyNumberFormat="1" applyFont="1" applyBorder="1" applyAlignment="1">
      <alignment horizontal="center"/>
      <protection/>
    </xf>
    <xf numFmtId="167" fontId="5" fillId="0" borderId="21" xfId="98" applyNumberFormat="1" applyFont="1" applyBorder="1" applyAlignment="1">
      <alignment horizontal="center"/>
      <protection/>
    </xf>
    <xf numFmtId="167" fontId="5" fillId="0" borderId="16" xfId="98" applyNumberFormat="1" applyFont="1" applyBorder="1" applyAlignment="1">
      <alignment horizontal="center"/>
      <protection/>
    </xf>
    <xf numFmtId="167" fontId="5" fillId="0" borderId="22" xfId="98" applyNumberFormat="1" applyFont="1" applyBorder="1" applyAlignment="1">
      <alignment horizontal="center"/>
      <protection/>
    </xf>
    <xf numFmtId="167" fontId="10" fillId="0" borderId="16" xfId="98" applyNumberFormat="1" applyFont="1" applyBorder="1" applyAlignment="1">
      <alignment horizontal="center"/>
      <protection/>
    </xf>
    <xf numFmtId="167" fontId="10" fillId="0" borderId="22" xfId="98" applyNumberFormat="1" applyFont="1" applyBorder="1" applyAlignment="1">
      <alignment horizontal="center"/>
      <protection/>
    </xf>
    <xf numFmtId="167" fontId="5" fillId="0" borderId="25" xfId="98" applyNumberFormat="1" applyFont="1" applyBorder="1" applyAlignment="1">
      <alignment horizontal="center"/>
      <protection/>
    </xf>
    <xf numFmtId="167" fontId="5" fillId="0" borderId="26" xfId="98" applyNumberFormat="1" applyFont="1" applyBorder="1" applyAlignment="1">
      <alignment horizontal="center"/>
      <protection/>
    </xf>
    <xf numFmtId="167" fontId="5" fillId="0" borderId="27" xfId="98" applyNumberFormat="1" applyFont="1" applyBorder="1" applyAlignment="1">
      <alignment horizontal="center"/>
      <protection/>
    </xf>
    <xf numFmtId="167" fontId="10" fillId="0" borderId="25" xfId="98" applyNumberFormat="1" applyFont="1" applyBorder="1" applyAlignment="1">
      <alignment horizontal="center"/>
      <protection/>
    </xf>
    <xf numFmtId="167" fontId="10" fillId="0" borderId="26" xfId="98" applyNumberFormat="1" applyFont="1" applyBorder="1" applyAlignment="1">
      <alignment horizontal="center"/>
      <protection/>
    </xf>
    <xf numFmtId="167" fontId="10" fillId="0" borderId="27" xfId="98" applyNumberFormat="1" applyFont="1" applyBorder="1" applyAlignment="1">
      <alignment horizontal="center"/>
      <protection/>
    </xf>
    <xf numFmtId="167" fontId="5" fillId="0" borderId="41" xfId="99" applyNumberFormat="1" applyFont="1" applyBorder="1" applyAlignment="1">
      <alignment horizontal="center"/>
      <protection/>
    </xf>
    <xf numFmtId="167" fontId="5" fillId="0" borderId="42" xfId="99" applyNumberFormat="1" applyFont="1" applyBorder="1" applyAlignment="1">
      <alignment horizontal="center"/>
      <protection/>
    </xf>
    <xf numFmtId="167" fontId="5" fillId="0" borderId="43" xfId="99" applyNumberFormat="1" applyFont="1" applyBorder="1" applyAlignment="1">
      <alignment horizontal="center"/>
      <protection/>
    </xf>
    <xf numFmtId="167" fontId="13" fillId="0" borderId="42" xfId="99" applyNumberFormat="1" applyFont="1" applyBorder="1" applyAlignment="1">
      <alignment horizontal="center"/>
      <protection/>
    </xf>
    <xf numFmtId="167" fontId="5" fillId="0" borderId="21" xfId="99" applyNumberFormat="1" applyFont="1" applyBorder="1" applyAlignment="1">
      <alignment horizontal="center"/>
      <protection/>
    </xf>
    <xf numFmtId="167" fontId="5" fillId="0" borderId="16" xfId="99" applyNumberFormat="1" applyFont="1" applyBorder="1" applyAlignment="1">
      <alignment horizontal="center"/>
      <protection/>
    </xf>
    <xf numFmtId="167" fontId="5" fillId="0" borderId="22" xfId="99" applyNumberFormat="1" applyFont="1" applyBorder="1" applyAlignment="1">
      <alignment horizontal="center"/>
      <protection/>
    </xf>
    <xf numFmtId="167" fontId="13" fillId="0" borderId="16" xfId="99" applyNumberFormat="1" applyFont="1" applyBorder="1" applyAlignment="1">
      <alignment horizontal="center"/>
      <protection/>
    </xf>
    <xf numFmtId="167" fontId="5" fillId="0" borderId="25" xfId="99" applyNumberFormat="1" applyFont="1" applyBorder="1" applyAlignment="1">
      <alignment horizontal="center"/>
      <protection/>
    </xf>
    <xf numFmtId="167" fontId="5" fillId="0" borderId="26" xfId="99" applyNumberFormat="1" applyFont="1" applyBorder="1" applyAlignment="1">
      <alignment horizontal="center"/>
      <protection/>
    </xf>
    <xf numFmtId="167" fontId="5" fillId="0" borderId="27" xfId="99" applyNumberFormat="1" applyFont="1" applyBorder="1" applyAlignment="1">
      <alignment horizontal="center"/>
      <protection/>
    </xf>
    <xf numFmtId="167" fontId="13" fillId="0" borderId="25" xfId="99" applyNumberFormat="1" applyFont="1" applyBorder="1" applyAlignment="1">
      <alignment horizontal="center"/>
      <protection/>
    </xf>
    <xf numFmtId="167" fontId="13" fillId="0" borderId="26" xfId="99" applyNumberFormat="1" applyFont="1" applyBorder="1" applyAlignment="1">
      <alignment horizontal="center"/>
      <protection/>
    </xf>
    <xf numFmtId="10" fontId="5" fillId="53" borderId="21" xfId="113" applyNumberFormat="1" applyFont="1" applyFill="1" applyBorder="1" applyAlignment="1">
      <alignment horizontal="center"/>
    </xf>
    <xf numFmtId="10" fontId="5" fillId="53" borderId="24" xfId="113" applyNumberFormat="1" applyFont="1" applyFill="1" applyBorder="1" applyAlignment="1">
      <alignment horizontal="left"/>
    </xf>
    <xf numFmtId="10" fontId="5" fillId="53" borderId="33" xfId="113" applyNumberFormat="1" applyFont="1" applyFill="1" applyBorder="1" applyAlignment="1">
      <alignment horizontal="left" wrapText="1"/>
    </xf>
    <xf numFmtId="10" fontId="5" fillId="0" borderId="33" xfId="113" applyNumberFormat="1" applyFont="1" applyBorder="1" applyAlignment="1">
      <alignment horizontal="left"/>
    </xf>
    <xf numFmtId="10" fontId="13" fillId="0" borderId="16" xfId="113" applyNumberFormat="1" applyFont="1" applyBorder="1" applyAlignment="1">
      <alignment horizontal="center"/>
    </xf>
    <xf numFmtId="10" fontId="5" fillId="0" borderId="0" xfId="113" applyNumberFormat="1" applyFont="1" applyAlignment="1">
      <alignment/>
    </xf>
    <xf numFmtId="4" fontId="106" fillId="0" borderId="21" xfId="105" applyNumberFormat="1" applyFont="1" applyBorder="1">
      <alignment/>
      <protection/>
    </xf>
    <xf numFmtId="4" fontId="107" fillId="0" borderId="21" xfId="105" applyNumberFormat="1" applyFont="1" applyBorder="1">
      <alignment/>
      <protection/>
    </xf>
    <xf numFmtId="4" fontId="106" fillId="0" borderId="25" xfId="105" applyNumberFormat="1" applyFont="1" applyBorder="1">
      <alignment/>
      <protection/>
    </xf>
    <xf numFmtId="4" fontId="108" fillId="0" borderId="21" xfId="105" applyNumberFormat="1" applyFont="1" applyBorder="1">
      <alignment/>
      <protection/>
    </xf>
    <xf numFmtId="167" fontId="5" fillId="0" borderId="0" xfId="98" applyNumberFormat="1" applyFont="1">
      <alignment/>
      <protection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0" fillId="0" borderId="21" xfId="0" applyNumberFormat="1" applyFont="1" applyBorder="1" applyAlignment="1">
      <alignment/>
    </xf>
    <xf numFmtId="4" fontId="109" fillId="0" borderId="21" xfId="0" applyNumberFormat="1" applyFont="1" applyBorder="1" applyAlignment="1">
      <alignment/>
    </xf>
    <xf numFmtId="0" fontId="54" fillId="54" borderId="69" xfId="91" applyFont="1" applyFill="1" applyBorder="1" applyAlignment="1">
      <alignment horizontal="center" vertical="center" wrapText="1"/>
      <protection/>
    </xf>
    <xf numFmtId="9" fontId="7" fillId="0" borderId="70" xfId="113" applyFont="1" applyBorder="1" applyAlignment="1">
      <alignment horizontal="center" vertical="center" wrapText="1"/>
    </xf>
    <xf numFmtId="0" fontId="7" fillId="0" borderId="70" xfId="104" applyFont="1" applyBorder="1" applyAlignment="1">
      <alignment horizontal="center" vertical="center" wrapText="1"/>
      <protection/>
    </xf>
    <xf numFmtId="2" fontId="7" fillId="0" borderId="70" xfId="104" applyNumberFormat="1" applyFont="1" applyBorder="1" applyAlignment="1">
      <alignment horizontal="center" vertical="center" wrapText="1"/>
      <protection/>
    </xf>
    <xf numFmtId="167" fontId="7" fillId="51" borderId="71" xfId="104" applyNumberFormat="1" applyFont="1" applyFill="1" applyBorder="1" applyAlignment="1">
      <alignment horizontal="center" vertical="center" wrapText="1"/>
      <protection/>
    </xf>
    <xf numFmtId="4" fontId="56" fillId="0" borderId="70" xfId="120" applyNumberFormat="1" applyFont="1" applyFill="1" applyBorder="1" applyAlignment="1">
      <alignment horizontal="center" vertical="center" wrapText="1"/>
      <protection/>
    </xf>
    <xf numFmtId="4" fontId="56" fillId="0" borderId="72" xfId="120" applyNumberFormat="1" applyFont="1" applyFill="1" applyBorder="1" applyAlignment="1">
      <alignment horizontal="center" vertical="center" wrapText="1"/>
      <protection/>
    </xf>
    <xf numFmtId="4" fontId="54" fillId="0" borderId="73" xfId="120" applyNumberFormat="1" applyFont="1" applyFill="1" applyBorder="1" applyAlignment="1">
      <alignment horizontal="center" vertical="center" wrapText="1"/>
      <protection/>
    </xf>
    <xf numFmtId="4" fontId="56" fillId="0" borderId="70" xfId="91" applyNumberFormat="1" applyFont="1" applyFill="1" applyBorder="1" applyAlignment="1" applyProtection="1">
      <alignment horizontal="center" vertical="center" wrapText="1"/>
      <protection locked="0"/>
    </xf>
    <xf numFmtId="4" fontId="7" fillId="0" borderId="70" xfId="120" applyNumberFormat="1" applyFont="1" applyFill="1" applyBorder="1" applyAlignment="1" applyProtection="1">
      <alignment horizontal="center" vertical="center"/>
      <protection locked="0"/>
    </xf>
    <xf numFmtId="4" fontId="56" fillId="0" borderId="70" xfId="119" applyNumberFormat="1" applyFont="1" applyFill="1" applyBorder="1" applyAlignment="1">
      <alignment horizontal="center" vertical="center"/>
      <protection/>
    </xf>
    <xf numFmtId="4" fontId="7" fillId="0" borderId="70" xfId="119" applyNumberFormat="1" applyFont="1" applyFill="1" applyBorder="1" applyAlignment="1" applyProtection="1">
      <alignment horizontal="center" vertical="center"/>
      <protection locked="0"/>
    </xf>
    <xf numFmtId="4" fontId="7" fillId="0" borderId="72" xfId="120" applyNumberFormat="1" applyFont="1" applyFill="1" applyBorder="1" applyAlignment="1" applyProtection="1">
      <alignment horizontal="center" vertical="center"/>
      <protection locked="0"/>
    </xf>
    <xf numFmtId="4" fontId="6" fillId="0" borderId="73" xfId="120" applyNumberFormat="1" applyFont="1" applyFill="1" applyBorder="1" applyAlignment="1">
      <alignment horizontal="center" vertical="center"/>
      <protection/>
    </xf>
    <xf numFmtId="4" fontId="56" fillId="0" borderId="16" xfId="119" applyNumberFormat="1" applyFont="1" applyFill="1" applyBorder="1" applyAlignment="1">
      <alignment horizontal="center" vertical="center"/>
      <protection/>
    </xf>
    <xf numFmtId="0" fontId="28" fillId="0" borderId="0" xfId="104" applyFont="1" applyAlignment="1">
      <alignment horizontal="right"/>
      <protection/>
    </xf>
    <xf numFmtId="4" fontId="6" fillId="0" borderId="71" xfId="97" applyNumberFormat="1" applyFont="1" applyFill="1" applyBorder="1" applyAlignment="1">
      <alignment horizontal="center" vertical="center"/>
      <protection/>
    </xf>
    <xf numFmtId="4" fontId="6" fillId="51" borderId="71" xfId="97" applyNumberFormat="1" applyFont="1" applyFill="1" applyBorder="1" applyAlignment="1">
      <alignment horizontal="center" vertical="center"/>
      <protection/>
    </xf>
    <xf numFmtId="165" fontId="7" fillId="0" borderId="0" xfId="104" applyNumberFormat="1" applyFont="1">
      <alignment/>
      <protection/>
    </xf>
    <xf numFmtId="166" fontId="7" fillId="0" borderId="0" xfId="104" applyNumberFormat="1" applyFont="1">
      <alignment/>
      <protection/>
    </xf>
    <xf numFmtId="165" fontId="7" fillId="0" borderId="0" xfId="113" applyNumberFormat="1" applyFont="1" applyFill="1" applyAlignment="1">
      <alignment/>
    </xf>
    <xf numFmtId="165" fontId="7" fillId="0" borderId="0" xfId="104" applyNumberFormat="1" applyFont="1" applyFill="1">
      <alignment/>
      <protection/>
    </xf>
    <xf numFmtId="4" fontId="110" fillId="0" borderId="16" xfId="9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04" applyFont="1" applyAlignment="1">
      <alignment horizontal="right"/>
      <protection/>
    </xf>
    <xf numFmtId="2" fontId="7" fillId="0" borderId="0" xfId="104" applyNumberFormat="1" applyFont="1" applyAlignment="1">
      <alignment horizontal="left"/>
      <protection/>
    </xf>
    <xf numFmtId="4" fontId="108" fillId="0" borderId="16" xfId="91" applyNumberFormat="1" applyFont="1" applyFill="1" applyBorder="1" applyAlignment="1" applyProtection="1">
      <alignment horizontal="center" vertical="center" wrapText="1"/>
      <protection locked="0"/>
    </xf>
    <xf numFmtId="170" fontId="76" fillId="0" borderId="22" xfId="105" applyNumberFormat="1" applyFont="1" applyBorder="1">
      <alignment/>
      <protection/>
    </xf>
    <xf numFmtId="4" fontId="7" fillId="0" borderId="0" xfId="104" applyNumberFormat="1" applyFont="1">
      <alignment/>
      <protection/>
    </xf>
    <xf numFmtId="0" fontId="3" fillId="0" borderId="0" xfId="108" applyFont="1" applyBorder="1">
      <alignment horizontal="center" vertical="center" wrapText="1"/>
    </xf>
    <xf numFmtId="167" fontId="5" fillId="0" borderId="34" xfId="98" applyNumberFormat="1" applyFont="1" applyBorder="1" applyAlignment="1">
      <alignment horizontal="center"/>
      <protection/>
    </xf>
    <xf numFmtId="167" fontId="5" fillId="0" borderId="30" xfId="98" applyNumberFormat="1" applyFont="1" applyBorder="1" applyAlignment="1">
      <alignment horizontal="center"/>
      <protection/>
    </xf>
    <xf numFmtId="0" fontId="5" fillId="0" borderId="0" xfId="98" applyFont="1" applyAlignment="1">
      <alignment horizontal="center"/>
      <protection/>
    </xf>
    <xf numFmtId="0" fontId="5" fillId="0" borderId="0" xfId="98" applyFont="1" applyAlignment="1">
      <alignment horizontal="left"/>
      <protection/>
    </xf>
    <xf numFmtId="167" fontId="5" fillId="0" borderId="39" xfId="98" applyNumberFormat="1" applyFont="1" applyBorder="1" applyAlignment="1">
      <alignment horizontal="center"/>
      <protection/>
    </xf>
    <xf numFmtId="167" fontId="5" fillId="0" borderId="45" xfId="98" applyNumberFormat="1" applyFont="1" applyBorder="1" applyAlignment="1">
      <alignment horizontal="center"/>
      <protection/>
    </xf>
    <xf numFmtId="167" fontId="10" fillId="0" borderId="39" xfId="98" applyNumberFormat="1" applyFont="1" applyBorder="1" applyAlignment="1">
      <alignment horizontal="center"/>
      <protection/>
    </xf>
    <xf numFmtId="167" fontId="10" fillId="0" borderId="45" xfId="98" applyNumberFormat="1" applyFont="1" applyBorder="1" applyAlignment="1">
      <alignment horizontal="center"/>
      <protection/>
    </xf>
    <xf numFmtId="167" fontId="5" fillId="0" borderId="40" xfId="98" applyNumberFormat="1" applyFont="1" applyBorder="1" applyAlignment="1">
      <alignment horizontal="center"/>
      <protection/>
    </xf>
    <xf numFmtId="167" fontId="5" fillId="0" borderId="47" xfId="98" applyNumberFormat="1" applyFont="1" applyBorder="1" applyAlignment="1">
      <alignment horizontal="center"/>
      <protection/>
    </xf>
    <xf numFmtId="0" fontId="8" fillId="0" borderId="0" xfId="98" applyFont="1" applyAlignment="1">
      <alignment horizontal="center"/>
      <protection/>
    </xf>
    <xf numFmtId="0" fontId="9" fillId="0" borderId="0" xfId="98" applyFont="1" applyAlignment="1">
      <alignment horizontal="center"/>
      <protection/>
    </xf>
    <xf numFmtId="0" fontId="5" fillId="0" borderId="62" xfId="98" applyFont="1" applyBorder="1" applyAlignment="1">
      <alignment horizontal="right" vertical="top"/>
      <protection/>
    </xf>
    <xf numFmtId="49" fontId="5" fillId="51" borderId="15" xfId="98" applyNumberFormat="1" applyFont="1" applyFill="1" applyBorder="1" applyAlignment="1">
      <alignment horizontal="center" vertical="center" wrapText="1"/>
      <protection/>
    </xf>
    <xf numFmtId="49" fontId="5" fillId="51" borderId="30" xfId="98" applyNumberFormat="1" applyFont="1" applyFill="1" applyBorder="1" applyAlignment="1">
      <alignment horizontal="center" vertical="center" wrapText="1"/>
      <protection/>
    </xf>
    <xf numFmtId="49" fontId="5" fillId="51" borderId="74" xfId="98" applyNumberFormat="1" applyFont="1" applyFill="1" applyBorder="1" applyAlignment="1">
      <alignment horizontal="center" vertical="center" wrapText="1"/>
      <protection/>
    </xf>
    <xf numFmtId="49" fontId="5" fillId="51" borderId="61" xfId="98" applyNumberFormat="1" applyFont="1" applyFill="1" applyBorder="1" applyAlignment="1">
      <alignment horizontal="center" vertical="center" wrapText="1"/>
      <protection/>
    </xf>
    <xf numFmtId="49" fontId="5" fillId="51" borderId="31" xfId="98" applyNumberFormat="1" applyFont="1" applyFill="1" applyBorder="1" applyAlignment="1">
      <alignment horizontal="center" vertical="center" wrapText="1"/>
      <protection/>
    </xf>
    <xf numFmtId="49" fontId="5" fillId="51" borderId="32" xfId="98" applyNumberFormat="1" applyFont="1" applyFill="1" applyBorder="1" applyAlignment="1">
      <alignment horizontal="center" vertical="center" wrapText="1"/>
      <protection/>
    </xf>
    <xf numFmtId="49" fontId="5" fillId="51" borderId="60" xfId="98" applyNumberFormat="1" applyFont="1" applyFill="1" applyBorder="1" applyAlignment="1">
      <alignment horizontal="center" vertical="center" wrapText="1"/>
      <protection/>
    </xf>
    <xf numFmtId="49" fontId="5" fillId="51" borderId="75" xfId="98" applyNumberFormat="1" applyFont="1" applyFill="1" applyBorder="1" applyAlignment="1">
      <alignment horizontal="center" vertical="center" wrapText="1"/>
      <protection/>
    </xf>
    <xf numFmtId="49" fontId="5" fillId="51" borderId="69" xfId="98" applyNumberFormat="1" applyFont="1" applyFill="1" applyBorder="1" applyAlignment="1">
      <alignment horizontal="center" vertical="center" wrapText="1"/>
      <protection/>
    </xf>
    <xf numFmtId="0" fontId="5" fillId="51" borderId="29" xfId="98" applyFont="1" applyFill="1" applyBorder="1" applyAlignment="1">
      <alignment horizontal="center"/>
      <protection/>
    </xf>
    <xf numFmtId="0" fontId="5" fillId="51" borderId="37" xfId="98" applyFont="1" applyFill="1" applyBorder="1" applyAlignment="1">
      <alignment horizontal="center"/>
      <protection/>
    </xf>
    <xf numFmtId="0" fontId="7" fillId="0" borderId="0" xfId="98" applyFont="1">
      <alignment/>
      <protection/>
    </xf>
    <xf numFmtId="0" fontId="5" fillId="0" borderId="0" xfId="98" applyFont="1" applyAlignment="1">
      <alignment horizontal="right" vertical="top"/>
      <protection/>
    </xf>
    <xf numFmtId="0" fontId="6" fillId="0" borderId="0" xfId="98" applyFont="1">
      <alignment/>
      <protection/>
    </xf>
    <xf numFmtId="0" fontId="5" fillId="51" borderId="29" xfId="99" applyFont="1" applyFill="1" applyBorder="1" applyAlignment="1">
      <alignment horizontal="center" wrapText="1"/>
      <protection/>
    </xf>
    <xf numFmtId="0" fontId="5" fillId="51" borderId="37" xfId="99" applyFont="1" applyFill="1" applyBorder="1" applyAlignment="1">
      <alignment horizontal="center" wrapText="1"/>
      <protection/>
    </xf>
    <xf numFmtId="0" fontId="5" fillId="0" borderId="0" xfId="99" applyFont="1" applyAlignment="1">
      <alignment horizontal="center"/>
      <protection/>
    </xf>
    <xf numFmtId="0" fontId="14" fillId="0" borderId="16" xfId="99" applyFont="1" applyBorder="1" applyAlignment="1">
      <alignment horizontal="center"/>
      <protection/>
    </xf>
    <xf numFmtId="0" fontId="11" fillId="0" borderId="0" xfId="99" applyFont="1" applyAlignment="1">
      <alignment horizontal="center"/>
      <protection/>
    </xf>
    <xf numFmtId="0" fontId="12" fillId="0" borderId="0" xfId="99" applyFont="1" applyAlignment="1">
      <alignment horizontal="center"/>
      <protection/>
    </xf>
    <xf numFmtId="0" fontId="5" fillId="0" borderId="62" xfId="99" applyFont="1" applyBorder="1" applyAlignment="1">
      <alignment horizontal="right" vertical="top"/>
      <protection/>
    </xf>
    <xf numFmtId="0" fontId="5" fillId="51" borderId="15" xfId="99" applyFont="1" applyFill="1" applyBorder="1" applyAlignment="1">
      <alignment horizontal="center" vertical="center" wrapText="1"/>
      <protection/>
    </xf>
    <xf numFmtId="0" fontId="5" fillId="51" borderId="30" xfId="99" applyFont="1" applyFill="1" applyBorder="1" applyAlignment="1">
      <alignment horizontal="center" vertical="center" wrapText="1"/>
      <protection/>
    </xf>
    <xf numFmtId="0" fontId="5" fillId="51" borderId="74" xfId="99" applyFont="1" applyFill="1" applyBorder="1" applyAlignment="1">
      <alignment horizontal="center" vertical="center" wrapText="1"/>
      <protection/>
    </xf>
    <xf numFmtId="0" fontId="5" fillId="51" borderId="61" xfId="99" applyFont="1" applyFill="1" applyBorder="1" applyAlignment="1">
      <alignment horizontal="center" vertical="center" wrapText="1"/>
      <protection/>
    </xf>
    <xf numFmtId="0" fontId="5" fillId="51" borderId="31" xfId="99" applyFont="1" applyFill="1" applyBorder="1" applyAlignment="1">
      <alignment horizontal="center" vertical="center" wrapText="1"/>
      <protection/>
    </xf>
    <xf numFmtId="0" fontId="5" fillId="51" borderId="32" xfId="99" applyFont="1" applyFill="1" applyBorder="1" applyAlignment="1">
      <alignment horizontal="center" vertical="center" wrapText="1"/>
      <protection/>
    </xf>
    <xf numFmtId="49" fontId="5" fillId="51" borderId="60" xfId="99" applyNumberFormat="1" applyFont="1" applyFill="1" applyBorder="1" applyAlignment="1">
      <alignment horizontal="center" vertical="center" wrapText="1"/>
      <protection/>
    </xf>
    <xf numFmtId="0" fontId="5" fillId="51" borderId="75" xfId="99" applyFont="1" applyFill="1" applyBorder="1" applyAlignment="1">
      <alignment horizontal="center" vertical="center" wrapText="1"/>
      <protection/>
    </xf>
    <xf numFmtId="0" fontId="5" fillId="51" borderId="69" xfId="99" applyFont="1" applyFill="1" applyBorder="1" applyAlignment="1">
      <alignment horizontal="center" vertical="center" wrapText="1"/>
      <protection/>
    </xf>
    <xf numFmtId="49" fontId="5" fillId="51" borderId="75" xfId="99" applyNumberFormat="1" applyFont="1" applyFill="1" applyBorder="1" applyAlignment="1">
      <alignment horizontal="center" vertical="center" wrapText="1"/>
      <protection/>
    </xf>
    <xf numFmtId="0" fontId="5" fillId="0" borderId="0" xfId="99" applyFont="1" applyAlignment="1">
      <alignment horizontal="right" vertical="top"/>
      <protection/>
    </xf>
    <xf numFmtId="0" fontId="17" fillId="0" borderId="54" xfId="102" applyFont="1" applyFill="1" applyBorder="1" applyAlignment="1">
      <alignment horizontal="center"/>
      <protection/>
    </xf>
    <xf numFmtId="0" fontId="17" fillId="0" borderId="32" xfId="102" applyFont="1" applyFill="1" applyBorder="1" applyAlignment="1">
      <alignment horizontal="center"/>
      <protection/>
    </xf>
    <xf numFmtId="0" fontId="17" fillId="0" borderId="76" xfId="102" applyFont="1" applyFill="1" applyBorder="1" applyAlignment="1">
      <alignment horizontal="center"/>
      <protection/>
    </xf>
    <xf numFmtId="49" fontId="17" fillId="0" borderId="49" xfId="102" applyNumberFormat="1" applyFont="1" applyFill="1" applyBorder="1" applyAlignment="1">
      <alignment horizontal="center" wrapText="1"/>
      <protection/>
    </xf>
    <xf numFmtId="0" fontId="17" fillId="0" borderId="77" xfId="102" applyNumberFormat="1" applyFont="1" applyFill="1" applyBorder="1" applyAlignment="1">
      <alignment horizontal="center" wrapText="1"/>
      <protection/>
    </xf>
    <xf numFmtId="0" fontId="17" fillId="0" borderId="73" xfId="102" applyNumberFormat="1" applyFont="1" applyFill="1" applyBorder="1" applyAlignment="1">
      <alignment horizontal="center" wrapText="1"/>
      <protection/>
    </xf>
    <xf numFmtId="0" fontId="19" fillId="0" borderId="0" xfId="102" applyFont="1" applyFill="1" applyAlignment="1">
      <alignment horizontal="center"/>
      <protection/>
    </xf>
    <xf numFmtId="0" fontId="15" fillId="0" borderId="0" xfId="102" applyFont="1" applyFill="1" applyAlignment="1">
      <alignment horizontal="center"/>
      <protection/>
    </xf>
    <xf numFmtId="0" fontId="16" fillId="0" borderId="0" xfId="102" applyFont="1" applyFill="1" applyAlignment="1">
      <alignment horizontal="center"/>
      <protection/>
    </xf>
    <xf numFmtId="0" fontId="2" fillId="51" borderId="15" xfId="105" applyFont="1" applyFill="1" applyBorder="1" applyAlignment="1">
      <alignment horizontal="center" vertical="center" wrapText="1"/>
      <protection/>
    </xf>
    <xf numFmtId="0" fontId="2" fillId="51" borderId="30" xfId="105" applyFont="1" applyFill="1" applyBorder="1" applyAlignment="1">
      <alignment horizontal="center" vertical="center" wrapText="1"/>
      <protection/>
    </xf>
    <xf numFmtId="0" fontId="2" fillId="51" borderId="74" xfId="105" applyFont="1" applyFill="1" applyBorder="1" applyAlignment="1">
      <alignment horizontal="center" vertical="center" wrapText="1"/>
      <protection/>
    </xf>
    <xf numFmtId="0" fontId="2" fillId="51" borderId="31" xfId="105" applyFont="1" applyFill="1" applyBorder="1" applyAlignment="1">
      <alignment horizontal="center" vertical="center" wrapText="1"/>
      <protection/>
    </xf>
    <xf numFmtId="0" fontId="2" fillId="51" borderId="60" xfId="105" applyFont="1" applyFill="1" applyBorder="1" applyAlignment="1">
      <alignment horizontal="center" vertical="center" wrapText="1"/>
      <protection/>
    </xf>
    <xf numFmtId="0" fontId="2" fillId="51" borderId="75" xfId="105" applyFont="1" applyFill="1" applyBorder="1" applyAlignment="1">
      <alignment horizontal="center" vertical="center" wrapText="1"/>
      <protection/>
    </xf>
    <xf numFmtId="0" fontId="2" fillId="51" borderId="69" xfId="105" applyFont="1" applyFill="1" applyBorder="1" applyAlignment="1">
      <alignment horizontal="center" vertical="center" wrapText="1"/>
      <protection/>
    </xf>
    <xf numFmtId="0" fontId="2" fillId="51" borderId="63" xfId="105" applyFont="1" applyFill="1" applyBorder="1" applyAlignment="1">
      <alignment horizontal="center" vertical="center" wrapText="1"/>
      <protection/>
    </xf>
    <xf numFmtId="0" fontId="2" fillId="51" borderId="55" xfId="105" applyFont="1" applyFill="1" applyBorder="1" applyAlignment="1">
      <alignment horizontal="center" vertical="center" wrapText="1"/>
      <protection/>
    </xf>
    <xf numFmtId="0" fontId="27" fillId="0" borderId="0" xfId="105" applyFont="1" applyAlignment="1">
      <alignment horizontal="left" vertical="top"/>
      <protection/>
    </xf>
    <xf numFmtId="0" fontId="2" fillId="0" borderId="0" xfId="105" applyFont="1" applyAlignment="1">
      <alignment horizontal="right"/>
      <protection/>
    </xf>
    <xf numFmtId="0" fontId="20" fillId="0" borderId="0" xfId="105" applyFont="1" applyAlignment="1">
      <alignment horizontal="center"/>
      <protection/>
    </xf>
    <xf numFmtId="0" fontId="19" fillId="0" borderId="0" xfId="105" applyFont="1" applyAlignment="1">
      <alignment horizontal="center"/>
      <protection/>
    </xf>
    <xf numFmtId="0" fontId="21" fillId="0" borderId="0" xfId="105" applyFont="1" applyAlignment="1">
      <alignment horizontal="center"/>
      <protection/>
    </xf>
    <xf numFmtId="0" fontId="2" fillId="51" borderId="41" xfId="105" applyFont="1" applyFill="1" applyBorder="1" applyAlignment="1">
      <alignment horizontal="center" vertical="center" wrapText="1"/>
      <protection/>
    </xf>
    <xf numFmtId="0" fontId="2" fillId="51" borderId="21" xfId="105" applyFont="1" applyFill="1" applyBorder="1" applyAlignment="1">
      <alignment horizontal="center" vertical="center" wrapText="1"/>
      <protection/>
    </xf>
    <xf numFmtId="0" fontId="2" fillId="51" borderId="78" xfId="105" applyFont="1" applyFill="1" applyBorder="1" applyAlignment="1">
      <alignment horizontal="center" vertical="center" wrapText="1"/>
      <protection/>
    </xf>
    <xf numFmtId="0" fontId="2" fillId="51" borderId="24" xfId="105" applyFont="1" applyFill="1" applyBorder="1" applyAlignment="1">
      <alignment horizontal="center" vertical="center" wrapText="1"/>
      <protection/>
    </xf>
    <xf numFmtId="49" fontId="22" fillId="51" borderId="41" xfId="105" applyNumberFormat="1" applyFont="1" applyFill="1" applyBorder="1" applyAlignment="1">
      <alignment horizontal="center" vertical="center" wrapText="1"/>
      <protection/>
    </xf>
    <xf numFmtId="0" fontId="22" fillId="51" borderId="21" xfId="105" applyFont="1" applyFill="1" applyBorder="1" applyAlignment="1">
      <alignment horizontal="center" vertical="center" wrapText="1"/>
      <protection/>
    </xf>
    <xf numFmtId="49" fontId="22" fillId="51" borderId="42" xfId="105" applyNumberFormat="1" applyFont="1" applyFill="1" applyBorder="1" applyAlignment="1">
      <alignment horizontal="center" vertical="center" wrapText="1"/>
      <protection/>
    </xf>
    <xf numFmtId="0" fontId="22" fillId="51" borderId="16" xfId="105" applyNumberFormat="1" applyFont="1" applyFill="1" applyBorder="1" applyAlignment="1">
      <alignment horizontal="center" vertical="center" wrapText="1"/>
      <protection/>
    </xf>
    <xf numFmtId="49" fontId="22" fillId="51" borderId="43" xfId="105" applyNumberFormat="1" applyFont="1" applyFill="1" applyBorder="1" applyAlignment="1">
      <alignment horizontal="center" vertical="center" wrapText="1"/>
      <protection/>
    </xf>
    <xf numFmtId="0" fontId="22" fillId="51" borderId="22" xfId="105" applyNumberFormat="1" applyFont="1" applyFill="1" applyBorder="1" applyAlignment="1">
      <alignment horizontal="center" vertical="center" wrapText="1"/>
      <protection/>
    </xf>
    <xf numFmtId="0" fontId="27" fillId="0" borderId="0" xfId="105" applyFont="1" applyAlignment="1">
      <alignment horizontal="right" wrapText="1"/>
      <protection/>
    </xf>
    <xf numFmtId="0" fontId="7" fillId="0" borderId="0" xfId="105" applyFont="1" applyAlignment="1">
      <alignment vertical="center"/>
      <protection/>
    </xf>
    <xf numFmtId="0" fontId="7" fillId="0" borderId="0" xfId="105" applyNumberFormat="1" applyFont="1" applyAlignment="1">
      <alignment horizontal="right" vertical="center"/>
      <protection/>
    </xf>
    <xf numFmtId="0" fontId="8" fillId="0" borderId="0" xfId="105" applyFont="1" applyBorder="1" applyAlignment="1">
      <alignment horizontal="center" wrapText="1"/>
      <protection/>
    </xf>
    <xf numFmtId="0" fontId="28" fillId="0" borderId="0" xfId="105" applyFont="1" applyBorder="1" applyAlignment="1">
      <alignment horizontal="center" wrapText="1"/>
      <protection/>
    </xf>
    <xf numFmtId="0" fontId="22" fillId="51" borderId="41" xfId="105" applyFont="1" applyFill="1" applyBorder="1" applyAlignment="1">
      <alignment horizontal="center" vertical="center" wrapText="1"/>
      <protection/>
    </xf>
    <xf numFmtId="0" fontId="22" fillId="51" borderId="78" xfId="105" applyFont="1" applyFill="1" applyBorder="1" applyAlignment="1">
      <alignment horizontal="center" vertical="center"/>
      <protection/>
    </xf>
    <xf numFmtId="0" fontId="22" fillId="51" borderId="24" xfId="105" applyFont="1" applyFill="1" applyBorder="1" applyAlignment="1">
      <alignment horizontal="center" vertical="center"/>
      <protection/>
    </xf>
    <xf numFmtId="0" fontId="22" fillId="51" borderId="43" xfId="105" applyNumberFormat="1" applyFont="1" applyFill="1" applyBorder="1" applyAlignment="1">
      <alignment horizontal="center" vertical="center" wrapText="1"/>
      <protection/>
    </xf>
    <xf numFmtId="49" fontId="22" fillId="51" borderId="65" xfId="105" applyNumberFormat="1" applyFont="1" applyFill="1" applyBorder="1" applyAlignment="1">
      <alignment horizontal="center" vertical="center" wrapText="1"/>
      <protection/>
    </xf>
    <xf numFmtId="0" fontId="22" fillId="51" borderId="78" xfId="105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62" xfId="0" applyFont="1" applyBorder="1" applyAlignment="1">
      <alignment horizontal="right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73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27" fillId="0" borderId="0" xfId="105" applyFont="1">
      <alignment/>
      <protection/>
    </xf>
    <xf numFmtId="0" fontId="27" fillId="0" borderId="0" xfId="105" applyFont="1" applyAlignment="1">
      <alignment horizontal="center"/>
      <protection/>
    </xf>
    <xf numFmtId="0" fontId="27" fillId="0" borderId="0" xfId="105" applyFont="1" applyAlignment="1">
      <alignment horizontal="center"/>
      <protection/>
    </xf>
    <xf numFmtId="0" fontId="20" fillId="0" borderId="0" xfId="105" applyFont="1" applyAlignment="1">
      <alignment horizontal="center"/>
      <protection/>
    </xf>
    <xf numFmtId="0" fontId="2" fillId="51" borderId="41" xfId="105" applyFont="1" applyFill="1" applyBorder="1" applyAlignment="1">
      <alignment horizontal="center" vertical="center"/>
      <protection/>
    </xf>
    <xf numFmtId="0" fontId="2" fillId="51" borderId="21" xfId="105" applyFont="1" applyFill="1" applyBorder="1" applyAlignment="1">
      <alignment horizontal="center" vertical="center"/>
      <protection/>
    </xf>
    <xf numFmtId="0" fontId="2" fillId="51" borderId="78" xfId="105" applyFont="1" applyFill="1" applyBorder="1" applyAlignment="1">
      <alignment horizontal="center" vertical="center"/>
      <protection/>
    </xf>
    <xf numFmtId="0" fontId="2" fillId="51" borderId="24" xfId="105" applyFont="1" applyFill="1" applyBorder="1" applyAlignment="1">
      <alignment horizontal="center" vertical="center"/>
      <protection/>
    </xf>
    <xf numFmtId="0" fontId="2" fillId="51" borderId="42" xfId="105" applyFont="1" applyFill="1" applyBorder="1" applyAlignment="1">
      <alignment horizontal="center" vertical="center" wrapText="1"/>
      <protection/>
    </xf>
    <xf numFmtId="0" fontId="2" fillId="51" borderId="16" xfId="105" applyFont="1" applyFill="1" applyBorder="1" applyAlignment="1">
      <alignment horizontal="center" vertical="center" wrapText="1"/>
      <protection/>
    </xf>
    <xf numFmtId="0" fontId="2" fillId="51" borderId="43" xfId="105" applyFont="1" applyFill="1" applyBorder="1" applyAlignment="1">
      <alignment horizontal="center" vertical="center" wrapText="1"/>
      <protection/>
    </xf>
    <xf numFmtId="0" fontId="2" fillId="51" borderId="22" xfId="105" applyFont="1" applyFill="1" applyBorder="1" applyAlignment="1">
      <alignment horizontal="center" vertical="center" wrapText="1"/>
      <protection/>
    </xf>
    <xf numFmtId="49" fontId="27" fillId="0" borderId="0" xfId="105" applyNumberFormat="1" applyFont="1" applyAlignment="1">
      <alignment horizontal="right"/>
      <protection/>
    </xf>
    <xf numFmtId="0" fontId="27" fillId="0" borderId="0" xfId="102" applyFont="1" applyAlignment="1">
      <alignment horizontal="center"/>
      <protection/>
    </xf>
    <xf numFmtId="49" fontId="27" fillId="0" borderId="0" xfId="102" applyNumberFormat="1" applyFont="1" applyAlignment="1">
      <alignment horizontal="center"/>
      <protection/>
    </xf>
    <xf numFmtId="0" fontId="2" fillId="0" borderId="0" xfId="105" applyFont="1" applyAlignment="1">
      <alignment horizontal="left" wrapText="1"/>
      <protection/>
    </xf>
    <xf numFmtId="0" fontId="2" fillId="0" borderId="0" xfId="102" applyAlignment="1">
      <alignment wrapText="1"/>
      <protection/>
    </xf>
    <xf numFmtId="0" fontId="27" fillId="0" borderId="0" xfId="105" applyFont="1" applyAlignment="1">
      <alignment horizontal="center" wrapText="1"/>
      <protection/>
    </xf>
    <xf numFmtId="0" fontId="20" fillId="0" borderId="0" xfId="105" applyFont="1" applyAlignment="1">
      <alignment horizontal="center" wrapText="1"/>
      <protection/>
    </xf>
    <xf numFmtId="0" fontId="20" fillId="0" borderId="0" xfId="105" applyFont="1" applyAlignment="1">
      <alignment horizontal="center" wrapText="1"/>
      <protection/>
    </xf>
    <xf numFmtId="0" fontId="2" fillId="51" borderId="56" xfId="105" applyFont="1" applyFill="1" applyBorder="1" applyAlignment="1">
      <alignment horizontal="center" vertical="center" wrapText="1"/>
      <protection/>
    </xf>
    <xf numFmtId="0" fontId="44" fillId="53" borderId="58" xfId="105" applyFont="1" applyFill="1" applyBorder="1" applyAlignment="1">
      <alignment horizontal="left" vertical="center" wrapText="1"/>
      <protection/>
    </xf>
    <xf numFmtId="0" fontId="44" fillId="53" borderId="79" xfId="105" applyFont="1" applyFill="1" applyBorder="1" applyAlignment="1">
      <alignment horizontal="left" vertical="center" wrapText="1"/>
      <protection/>
    </xf>
    <xf numFmtId="0" fontId="2" fillId="53" borderId="21" xfId="105" applyFont="1" applyFill="1" applyBorder="1" applyAlignment="1">
      <alignment horizontal="center" vertical="center" wrapText="1"/>
      <protection/>
    </xf>
    <xf numFmtId="0" fontId="27" fillId="0" borderId="0" xfId="102" applyFont="1" applyAlignment="1">
      <alignment horizontal="left"/>
      <protection/>
    </xf>
    <xf numFmtId="49" fontId="27" fillId="0" borderId="0" xfId="102" applyNumberFormat="1" applyFont="1" applyAlignment="1">
      <alignment horizontal="right"/>
      <protection/>
    </xf>
    <xf numFmtId="0" fontId="27" fillId="0" borderId="0" xfId="102" applyNumberFormat="1" applyFont="1" applyAlignment="1">
      <alignment horizontal="right"/>
      <protection/>
    </xf>
    <xf numFmtId="0" fontId="19" fillId="51" borderId="78" xfId="105" applyFont="1" applyFill="1" applyBorder="1" applyAlignment="1">
      <alignment horizontal="center" vertical="center" wrapText="1"/>
      <protection/>
    </xf>
    <xf numFmtId="0" fontId="19" fillId="51" borderId="24" xfId="105" applyFont="1" applyFill="1" applyBorder="1" applyAlignment="1">
      <alignment horizontal="center" vertical="center" wrapText="1"/>
      <protection/>
    </xf>
    <xf numFmtId="0" fontId="22" fillId="51" borderId="78" xfId="105" applyFont="1" applyFill="1" applyBorder="1" applyAlignment="1">
      <alignment horizontal="center" vertical="center" wrapText="1"/>
      <protection/>
    </xf>
    <xf numFmtId="0" fontId="22" fillId="51" borderId="43" xfId="105" applyFont="1" applyFill="1" applyBorder="1" applyAlignment="1">
      <alignment horizontal="center" vertical="center" wrapText="1"/>
      <protection/>
    </xf>
    <xf numFmtId="0" fontId="2" fillId="53" borderId="30" xfId="105" applyFont="1" applyFill="1" applyBorder="1" applyAlignment="1">
      <alignment horizontal="center" vertical="center" wrapText="1"/>
      <protection/>
    </xf>
    <xf numFmtId="0" fontId="2" fillId="0" borderId="62" xfId="105" applyFont="1" applyBorder="1" applyAlignment="1">
      <alignment horizontal="right" wrapText="1"/>
      <protection/>
    </xf>
    <xf numFmtId="0" fontId="2" fillId="0" borderId="0" xfId="105" applyFont="1" applyAlignment="1">
      <alignment horizontal="right" wrapText="1"/>
      <protection/>
    </xf>
    <xf numFmtId="0" fontId="27" fillId="0" borderId="0" xfId="105" applyFont="1" applyAlignment="1">
      <alignment horizontal="center" wrapText="1"/>
      <protection/>
    </xf>
    <xf numFmtId="0" fontId="27" fillId="0" borderId="0" xfId="103" applyFont="1" applyBorder="1" applyAlignment="1">
      <alignment horizontal="center"/>
      <protection/>
    </xf>
    <xf numFmtId="3" fontId="27" fillId="0" borderId="0" xfId="103" applyNumberFormat="1" applyFont="1" applyBorder="1" applyAlignment="1">
      <alignment horizontal="right"/>
      <protection/>
    </xf>
    <xf numFmtId="0" fontId="27" fillId="0" borderId="0" xfId="103" applyFont="1" applyAlignment="1">
      <alignment horizontal="center" vertical="center" wrapText="1"/>
      <protection/>
    </xf>
    <xf numFmtId="0" fontId="20" fillId="0" borderId="0" xfId="103" applyFont="1" applyAlignment="1">
      <alignment horizontal="center" vertical="center" wrapText="1"/>
      <protection/>
    </xf>
    <xf numFmtId="0" fontId="2" fillId="51" borderId="41" xfId="103" applyFont="1" applyFill="1" applyBorder="1" applyAlignment="1">
      <alignment horizontal="center" vertical="center"/>
      <protection/>
    </xf>
    <xf numFmtId="0" fontId="2" fillId="51" borderId="21" xfId="103" applyFont="1" applyFill="1" applyBorder="1" applyAlignment="1">
      <alignment horizontal="center" vertical="center"/>
      <protection/>
    </xf>
    <xf numFmtId="0" fontId="2" fillId="51" borderId="78" xfId="103" applyFont="1" applyFill="1" applyBorder="1" applyAlignment="1">
      <alignment horizontal="center" vertical="center"/>
      <protection/>
    </xf>
    <xf numFmtId="0" fontId="2" fillId="51" borderId="24" xfId="103" applyFont="1" applyFill="1" applyBorder="1" applyAlignment="1">
      <alignment horizontal="center" vertical="center"/>
      <protection/>
    </xf>
    <xf numFmtId="0" fontId="2" fillId="51" borderId="46" xfId="103" applyFont="1" applyFill="1" applyBorder="1" applyAlignment="1">
      <alignment horizontal="center" vertical="center" wrapText="1"/>
      <protection/>
    </xf>
    <xf numFmtId="0" fontId="2" fillId="51" borderId="48" xfId="103" applyFont="1" applyFill="1" applyBorder="1" applyAlignment="1">
      <alignment horizontal="center" vertical="center" wrapText="1"/>
      <protection/>
    </xf>
    <xf numFmtId="0" fontId="22" fillId="51" borderId="65" xfId="105" applyFont="1" applyFill="1" applyBorder="1" applyAlignment="1">
      <alignment horizontal="center" vertical="center" wrapText="1"/>
      <protection/>
    </xf>
    <xf numFmtId="0" fontId="22" fillId="51" borderId="42" xfId="105" applyFont="1" applyFill="1" applyBorder="1" applyAlignment="1">
      <alignment horizontal="center" vertical="center" wrapText="1"/>
      <protection/>
    </xf>
    <xf numFmtId="0" fontId="27" fillId="0" borderId="0" xfId="100" applyFont="1" applyAlignment="1">
      <alignment horizontal="left"/>
      <protection/>
    </xf>
    <xf numFmtId="3" fontId="27" fillId="0" borderId="0" xfId="100" applyNumberFormat="1" applyFont="1" applyAlignment="1">
      <alignment horizontal="right"/>
      <protection/>
    </xf>
    <xf numFmtId="0" fontId="27" fillId="0" borderId="0" xfId="100" applyFont="1" applyAlignment="1">
      <alignment horizontal="right"/>
      <protection/>
    </xf>
    <xf numFmtId="0" fontId="27" fillId="0" borderId="0" xfId="100" applyFont="1" applyAlignment="1">
      <alignment horizontal="center" wrapText="1"/>
      <protection/>
    </xf>
    <xf numFmtId="0" fontId="20" fillId="0" borderId="0" xfId="100" applyFont="1" applyBorder="1" applyAlignment="1">
      <alignment horizontal="center" vertical="center" wrapText="1"/>
      <protection/>
    </xf>
    <xf numFmtId="0" fontId="2" fillId="51" borderId="41" xfId="100" applyFont="1" applyFill="1" applyBorder="1" applyAlignment="1">
      <alignment horizontal="center" vertical="center"/>
      <protection/>
    </xf>
    <xf numFmtId="0" fontId="2" fillId="51" borderId="21" xfId="100" applyFont="1" applyFill="1" applyBorder="1" applyAlignment="1">
      <alignment horizontal="center" vertical="center"/>
      <protection/>
    </xf>
    <xf numFmtId="0" fontId="2" fillId="51" borderId="78" xfId="100" applyFont="1" applyFill="1" applyBorder="1" applyAlignment="1">
      <alignment horizontal="center" vertical="center"/>
      <protection/>
    </xf>
    <xf numFmtId="0" fontId="2" fillId="51" borderId="24" xfId="100" applyFont="1" applyFill="1" applyBorder="1" applyAlignment="1">
      <alignment horizontal="center" vertical="center"/>
      <protection/>
    </xf>
    <xf numFmtId="0" fontId="2" fillId="51" borderId="46" xfId="100" applyFont="1" applyFill="1" applyBorder="1" applyAlignment="1">
      <alignment horizontal="center" vertical="center" wrapText="1"/>
      <protection/>
    </xf>
    <xf numFmtId="0" fontId="2" fillId="51" borderId="48" xfId="100" applyFont="1" applyFill="1" applyBorder="1" applyAlignment="1">
      <alignment horizontal="center" vertical="center" wrapText="1"/>
      <protection/>
    </xf>
    <xf numFmtId="0" fontId="2" fillId="51" borderId="41" xfId="100" applyFont="1" applyFill="1" applyBorder="1" applyAlignment="1">
      <alignment horizontal="center" vertical="center" wrapText="1"/>
      <protection/>
    </xf>
    <xf numFmtId="0" fontId="2" fillId="51" borderId="21" xfId="100" applyFont="1" applyFill="1" applyBorder="1" applyAlignment="1">
      <alignment horizontal="center" vertical="center" wrapText="1"/>
      <protection/>
    </xf>
    <xf numFmtId="0" fontId="2" fillId="51" borderId="42" xfId="100" applyFont="1" applyFill="1" applyBorder="1" applyAlignment="1">
      <alignment horizontal="center" vertical="center" wrapText="1"/>
      <protection/>
    </xf>
    <xf numFmtId="0" fontId="2" fillId="51" borderId="16" xfId="100" applyFont="1" applyFill="1" applyBorder="1" applyAlignment="1">
      <alignment horizontal="center" vertical="center" wrapText="1"/>
      <protection/>
    </xf>
    <xf numFmtId="0" fontId="2" fillId="51" borderId="43" xfId="100" applyFont="1" applyFill="1" applyBorder="1" applyAlignment="1">
      <alignment horizontal="center" vertical="center" wrapText="1"/>
      <protection/>
    </xf>
    <xf numFmtId="0" fontId="2" fillId="51" borderId="22" xfId="100" applyFont="1" applyFill="1" applyBorder="1" applyAlignment="1">
      <alignment horizontal="center" vertical="center" wrapText="1"/>
      <protection/>
    </xf>
    <xf numFmtId="4" fontId="2" fillId="0" borderId="56" xfId="102" applyNumberFormat="1" applyFont="1" applyBorder="1" applyAlignment="1">
      <alignment horizontal="center" vertical="center" wrapText="1"/>
      <protection/>
    </xf>
    <xf numFmtId="0" fontId="2" fillId="0" borderId="33" xfId="102" applyFont="1" applyBorder="1" applyAlignment="1">
      <alignment horizontal="center" vertical="center" wrapText="1"/>
      <protection/>
    </xf>
    <xf numFmtId="0" fontId="2" fillId="0" borderId="23" xfId="102" applyFont="1" applyBorder="1" applyAlignment="1">
      <alignment horizontal="center" vertical="center" wrapText="1"/>
      <protection/>
    </xf>
    <xf numFmtId="4" fontId="2" fillId="0" borderId="24" xfId="102" applyNumberFormat="1" applyFont="1" applyBorder="1" applyAlignment="1">
      <alignment horizontal="center" vertical="center" wrapText="1"/>
      <protection/>
    </xf>
    <xf numFmtId="0" fontId="2" fillId="0" borderId="70" xfId="102" applyFont="1" applyBorder="1" applyAlignment="1">
      <alignment horizontal="center" vertical="center" wrapText="1"/>
      <protection/>
    </xf>
    <xf numFmtId="4" fontId="2" fillId="0" borderId="59" xfId="102" applyNumberFormat="1" applyFont="1" applyBorder="1" applyAlignment="1">
      <alignment horizontal="center" vertical="center" wrapText="1"/>
      <protection/>
    </xf>
    <xf numFmtId="0" fontId="2" fillId="0" borderId="37" xfId="102" applyFont="1" applyBorder="1" applyAlignment="1">
      <alignment horizontal="center" vertical="center" wrapText="1"/>
      <protection/>
    </xf>
    <xf numFmtId="0" fontId="2" fillId="0" borderId="28" xfId="102" applyFont="1" applyBorder="1" applyAlignment="1">
      <alignment horizontal="center" vertical="center" wrapText="1"/>
      <protection/>
    </xf>
    <xf numFmtId="4" fontId="2" fillId="0" borderId="29" xfId="102" applyNumberFormat="1" applyFont="1" applyBorder="1" applyAlignment="1">
      <alignment horizontal="center" vertical="center" wrapText="1"/>
      <protection/>
    </xf>
    <xf numFmtId="0" fontId="2" fillId="0" borderId="71" xfId="102" applyFont="1" applyBorder="1" applyAlignment="1">
      <alignment horizontal="center" vertical="center" wrapText="1"/>
      <protection/>
    </xf>
    <xf numFmtId="3" fontId="27" fillId="0" borderId="0" xfId="102" applyNumberFormat="1" applyFont="1" applyAlignment="1">
      <alignment horizontal="center"/>
      <protection/>
    </xf>
    <xf numFmtId="0" fontId="2" fillId="53" borderId="56" xfId="102" applyFont="1" applyFill="1" applyBorder="1" applyAlignment="1">
      <alignment horizontal="left" vertical="top" wrapText="1"/>
      <protection/>
    </xf>
    <xf numFmtId="0" fontId="2" fillId="53" borderId="33" xfId="102" applyFont="1" applyFill="1" applyBorder="1" applyAlignment="1">
      <alignment horizontal="left" vertical="top" wrapText="1"/>
      <protection/>
    </xf>
    <xf numFmtId="0" fontId="2" fillId="0" borderId="56" xfId="102" applyFont="1" applyBorder="1" applyAlignment="1">
      <alignment vertical="center" wrapText="1"/>
      <protection/>
    </xf>
    <xf numFmtId="0" fontId="2" fillId="0" borderId="33" xfId="102" applyFont="1" applyBorder="1" applyAlignment="1">
      <alignment vertical="center" wrapText="1"/>
      <protection/>
    </xf>
    <xf numFmtId="0" fontId="2" fillId="0" borderId="23" xfId="102" applyFont="1" applyBorder="1" applyAlignment="1">
      <alignment vertical="center" wrapText="1"/>
      <protection/>
    </xf>
    <xf numFmtId="0" fontId="2" fillId="0" borderId="24" xfId="102" applyFont="1" applyBorder="1" applyAlignment="1">
      <alignment vertical="center" wrapText="1"/>
      <protection/>
    </xf>
    <xf numFmtId="0" fontId="2" fillId="0" borderId="70" xfId="102" applyFont="1" applyBorder="1" applyAlignment="1">
      <alignment vertical="center" wrapText="1"/>
      <protection/>
    </xf>
    <xf numFmtId="2" fontId="2" fillId="0" borderId="56" xfId="102" applyNumberFormat="1" applyFont="1" applyBorder="1" applyAlignment="1">
      <alignment horizontal="center" vertical="center" wrapText="1"/>
      <protection/>
    </xf>
    <xf numFmtId="2" fontId="2" fillId="0" borderId="24" xfId="102" applyNumberFormat="1" applyFont="1" applyBorder="1" applyAlignment="1">
      <alignment horizontal="center" vertical="center" wrapText="1"/>
      <protection/>
    </xf>
    <xf numFmtId="0" fontId="2" fillId="51" borderId="36" xfId="102" applyFill="1" applyBorder="1" applyAlignment="1">
      <alignment horizontal="center" vertical="center" wrapText="1"/>
      <protection/>
    </xf>
    <xf numFmtId="0" fontId="2" fillId="51" borderId="66" xfId="102" applyFill="1" applyBorder="1" applyAlignment="1">
      <alignment horizontal="center" vertical="center" wrapText="1"/>
      <protection/>
    </xf>
    <xf numFmtId="0" fontId="2" fillId="51" borderId="32" xfId="102" applyFill="1" applyBorder="1" applyAlignment="1">
      <alignment horizontal="center" vertical="center" wrapText="1"/>
      <protection/>
    </xf>
    <xf numFmtId="0" fontId="2" fillId="51" borderId="44" xfId="102" applyFill="1" applyBorder="1" applyAlignment="1">
      <alignment horizontal="center" vertical="center" wrapText="1"/>
      <protection/>
    </xf>
    <xf numFmtId="0" fontId="2" fillId="51" borderId="16" xfId="102" applyFill="1" applyBorder="1" applyAlignment="1">
      <alignment horizontal="center" vertical="center" wrapText="1"/>
      <protection/>
    </xf>
    <xf numFmtId="2" fontId="2" fillId="0" borderId="33" xfId="102" applyNumberFormat="1" applyFont="1" applyBorder="1" applyAlignment="1">
      <alignment horizontal="center" vertical="center" wrapText="1"/>
      <protection/>
    </xf>
    <xf numFmtId="2" fontId="2" fillId="0" borderId="23" xfId="102" applyNumberFormat="1" applyFont="1" applyBorder="1" applyAlignment="1">
      <alignment horizontal="center" vertical="center" wrapText="1"/>
      <protection/>
    </xf>
    <xf numFmtId="0" fontId="2" fillId="0" borderId="0" xfId="102" applyAlignment="1">
      <alignment horizontal="right"/>
      <protection/>
    </xf>
    <xf numFmtId="0" fontId="16" fillId="0" borderId="0" xfId="102" applyFont="1" applyAlignment="1">
      <alignment horizontal="center" wrapText="1"/>
      <protection/>
    </xf>
    <xf numFmtId="0" fontId="16" fillId="0" borderId="0" xfId="102" applyFont="1" applyAlignment="1">
      <alignment horizontal="center"/>
      <protection/>
    </xf>
    <xf numFmtId="0" fontId="16" fillId="0" borderId="0" xfId="102" applyFont="1" applyBorder="1" applyAlignment="1">
      <alignment horizontal="center"/>
      <protection/>
    </xf>
    <xf numFmtId="0" fontId="2" fillId="51" borderId="80" xfId="102" applyFill="1" applyBorder="1" applyAlignment="1">
      <alignment horizontal="center" vertical="center" wrapText="1"/>
      <protection/>
    </xf>
    <xf numFmtId="0" fontId="2" fillId="51" borderId="81" xfId="102" applyFill="1" applyBorder="1" applyAlignment="1">
      <alignment horizontal="center" vertical="center" wrapText="1"/>
      <protection/>
    </xf>
    <xf numFmtId="0" fontId="2" fillId="51" borderId="54" xfId="102" applyFill="1" applyBorder="1" applyAlignment="1">
      <alignment horizontal="center" vertical="center" wrapText="1"/>
      <protection/>
    </xf>
    <xf numFmtId="0" fontId="2" fillId="51" borderId="74" xfId="102" applyFill="1" applyBorder="1" applyAlignment="1">
      <alignment horizontal="center" vertical="center" wrapText="1"/>
      <protection/>
    </xf>
    <xf numFmtId="0" fontId="2" fillId="51" borderId="82" xfId="102" applyFill="1" applyBorder="1" applyAlignment="1">
      <alignment horizontal="center" vertical="center" wrapText="1"/>
      <protection/>
    </xf>
    <xf numFmtId="0" fontId="2" fillId="51" borderId="31" xfId="102" applyFill="1" applyBorder="1" applyAlignment="1">
      <alignment horizontal="center" vertical="center" wrapText="1"/>
      <protection/>
    </xf>
    <xf numFmtId="0" fontId="2" fillId="51" borderId="61" xfId="102" applyFill="1" applyBorder="1" applyAlignment="1">
      <alignment horizontal="center" vertical="center" wrapText="1"/>
      <protection/>
    </xf>
    <xf numFmtId="0" fontId="2" fillId="51" borderId="78" xfId="102" applyFill="1" applyBorder="1" applyAlignment="1">
      <alignment horizontal="center"/>
      <protection/>
    </xf>
    <xf numFmtId="0" fontId="2" fillId="51" borderId="75" xfId="102" applyFill="1" applyBorder="1" applyAlignment="1">
      <alignment horizontal="center"/>
      <protection/>
    </xf>
    <xf numFmtId="0" fontId="2" fillId="51" borderId="65" xfId="102" applyFill="1" applyBorder="1" applyAlignment="1">
      <alignment horizontal="center"/>
      <protection/>
    </xf>
    <xf numFmtId="0" fontId="2" fillId="51" borderId="83" xfId="102" applyFill="1" applyBorder="1" applyAlignment="1">
      <alignment horizontal="center" vertical="center" wrapText="1"/>
      <protection/>
    </xf>
    <xf numFmtId="0" fontId="2" fillId="51" borderId="76" xfId="102" applyFill="1" applyBorder="1" applyAlignment="1">
      <alignment horizontal="center" vertical="center" wrapText="1"/>
      <protection/>
    </xf>
    <xf numFmtId="0" fontId="28" fillId="0" borderId="0" xfId="104" applyFont="1" applyAlignment="1">
      <alignment horizontal="center" wrapText="1"/>
      <protection/>
    </xf>
    <xf numFmtId="0" fontId="6" fillId="0" borderId="81" xfId="104" applyFont="1" applyBorder="1" applyAlignment="1">
      <alignment horizontal="center"/>
      <protection/>
    </xf>
    <xf numFmtId="0" fontId="6" fillId="0" borderId="0" xfId="104" applyFont="1" applyBorder="1" applyAlignment="1">
      <alignment horizontal="center"/>
      <protection/>
    </xf>
    <xf numFmtId="0" fontId="6" fillId="0" borderId="81" xfId="104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center" vertical="center" wrapText="1"/>
      <protection/>
    </xf>
    <xf numFmtId="0" fontId="54" fillId="0" borderId="81" xfId="97" applyFont="1" applyFill="1" applyBorder="1" applyAlignment="1">
      <alignment horizontal="center" vertical="center"/>
      <protection/>
    </xf>
    <xf numFmtId="0" fontId="54" fillId="0" borderId="0" xfId="97" applyFont="1" applyFill="1" applyBorder="1" applyAlignment="1">
      <alignment horizontal="center" vertical="center"/>
      <protection/>
    </xf>
    <xf numFmtId="0" fontId="54" fillId="0" borderId="81" xfId="97" applyFont="1" applyFill="1" applyBorder="1" applyAlignment="1">
      <alignment horizontal="center" vertical="center" wrapText="1"/>
      <protection/>
    </xf>
    <xf numFmtId="0" fontId="54" fillId="0" borderId="0" xfId="97" applyFont="1" applyFill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аголовокСтолбца" xfId="91"/>
    <cellStyle name="Значени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_235200000001" xfId="98"/>
    <cellStyle name="Обычный_235200000002" xfId="99"/>
    <cellStyle name="Обычный_methodics230802-pril1-3" xfId="100"/>
    <cellStyle name="Обычный_Генерация+Передача_ээ(ЭТК)" xfId="101"/>
    <cellStyle name="Обычный_Передача_ээ" xfId="102"/>
    <cellStyle name="Обычный_табл22-24 c 1 июня 2003(ВН)" xfId="103"/>
    <cellStyle name="Обычный_таблица расходов" xfId="104"/>
    <cellStyle name="Обычный_тарифы на 2002г с 1-01" xfId="105"/>
    <cellStyle name="Плохой" xfId="106"/>
    <cellStyle name="По центру" xfId="107"/>
    <cellStyle name="По центру с переносом" xfId="108"/>
    <cellStyle name="По ширине" xfId="109"/>
    <cellStyle name="По ширине с переносом" xfId="110"/>
    <cellStyle name="Пояснение" xfId="111"/>
    <cellStyle name="Примечание" xfId="112"/>
    <cellStyle name="Percent" xfId="113"/>
    <cellStyle name="Связанная ячейка" xfId="114"/>
    <cellStyle name="Стиль 1 2" xfId="115"/>
    <cellStyle name="Текст предупреждения" xfId="116"/>
    <cellStyle name="Comma" xfId="117"/>
    <cellStyle name="Comma [0]" xfId="118"/>
    <cellStyle name="Формула" xfId="119"/>
    <cellStyle name="Формула_GRES.2007.5" xfId="120"/>
    <cellStyle name="Хороший" xfId="121"/>
    <cellStyle name="Цифры" xfId="122"/>
    <cellStyle name="Цифры по центру с десятыми" xfId="123"/>
    <cellStyle name="числа по центру с десятыми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76;&#1083;&#1103;%20&#1084;&#1077;&#1085;&#1103;\&#1040;&#1085;&#1072;&#1083;&#1080;&#1079;%20&#1090;&#1072;&#1088;&#1080;&#1092;&#1086;&#1074;\&#1069;&#1058;&#1050;\&#1072;&#1085;&#1072;&#1083;&#1080;&#1079;%20&#1090;&#1072;&#1088;&#1080;&#1092;&#1086;&#1074;%20&#1069;&#1058;&#1050;%202013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&#1069;&#1058;&#1050;%20&#1088;&#1072;&#1089;&#1095;&#1077;&#1090;%20&#1090;&#1072;&#1088;&#1080;&#1092;&#1086;&#1074;%20&#1101;&#1101;%20&#1080;%20&#1090;&#1101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76;&#1083;&#1103;%20&#1084;&#1077;&#1085;&#1103;\&#1040;&#1085;&#1072;&#1083;&#1080;&#1079;%20&#1090;&#1072;&#1088;&#1080;&#1092;&#1086;&#1074;\&#1069;&#1058;&#1050;\&#1054;&#1089;&#1085;&#1086;&#1074;&#1085;&#1099;&#1077;%20&#1089;&#1088;&#1077;&#1076;&#1089;&#1090;&#1074;&#1072;%20&#1069;&#1058;&#1050;\&#1054;&#1057;%20&#1087;&#1088;&#1080;&#1086;&#1073;&#1088;&#1077;&#1090;&#1077;&#1085;&#1085;&#1099;&#1077;%20&#1074;%202013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8;&#1085;&#1074;&#1077;&#1089;&#1090;%20&#1087;&#1088;&#1086;&#1075;&#1088;&#1072;&#1084;&#1084;&#1072;%20&#1087;&#1086;%20&#1101;&#1101;\2015\&#1069;&#1058;&#1050;%20&#1048;&#1055;&#1056;%20&#1075;&#1086;&#1090;&#1086;&#1074;%20&#1085;&#1072;%2006%20&#1084;&#1072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дача ээ"/>
      <sheetName val="тепло 22 Пс"/>
      <sheetName val="тепло 30 сев"/>
      <sheetName val="тепло Входная"/>
      <sheetName val="ГВС"/>
      <sheetName val="рем эл "/>
      <sheetName val="рем 22 пс "/>
      <sheetName val="рем 30 сев"/>
      <sheetName val="рем Входная"/>
      <sheetName val="рем ГВС"/>
      <sheetName val="потери"/>
    </sheetNames>
    <sheetDataSet>
      <sheetData sheetId="0">
        <row r="6">
          <cell r="C6">
            <v>9036.57</v>
          </cell>
          <cell r="V6">
            <v>12582.92697</v>
          </cell>
        </row>
        <row r="7">
          <cell r="C7">
            <v>2778.0299999999997</v>
          </cell>
          <cell r="V7">
            <v>3718.94841</v>
          </cell>
        </row>
        <row r="9">
          <cell r="C9">
            <v>10602.7</v>
          </cell>
          <cell r="V9">
            <v>10603.69003</v>
          </cell>
        </row>
        <row r="10">
          <cell r="C10">
            <v>45.17</v>
          </cell>
          <cell r="V10">
            <v>5452.21701</v>
          </cell>
        </row>
        <row r="11">
          <cell r="C11">
            <v>208980.63999999998</v>
          </cell>
          <cell r="V11">
            <v>196197.13023286947</v>
          </cell>
        </row>
        <row r="12">
          <cell r="V12">
            <v>16790.701439999997</v>
          </cell>
        </row>
        <row r="13">
          <cell r="V13">
            <v>4922.379719999999</v>
          </cell>
        </row>
        <row r="14">
          <cell r="C14">
            <v>10064.87</v>
          </cell>
        </row>
        <row r="15">
          <cell r="C15">
            <v>10064.87</v>
          </cell>
        </row>
        <row r="20">
          <cell r="C20">
            <v>178340.75</v>
          </cell>
          <cell r="V20">
            <v>171110.38526999997</v>
          </cell>
        </row>
        <row r="26">
          <cell r="C26">
            <v>3538.17</v>
          </cell>
          <cell r="V26">
            <v>11612.502738340478</v>
          </cell>
        </row>
        <row r="31">
          <cell r="V31">
            <v>4572.052130448144</v>
          </cell>
        </row>
        <row r="32">
          <cell r="V32">
            <v>1269.058527953651</v>
          </cell>
        </row>
        <row r="45">
          <cell r="C45">
            <v>685.5</v>
          </cell>
        </row>
        <row r="46">
          <cell r="V46">
            <v>487.2863048176627</v>
          </cell>
        </row>
        <row r="48">
          <cell r="V48">
            <v>30.536977277745574</v>
          </cell>
        </row>
        <row r="49">
          <cell r="V49">
            <v>14392.163299999998</v>
          </cell>
        </row>
        <row r="51">
          <cell r="V51">
            <v>55.895246393371835</v>
          </cell>
        </row>
        <row r="52">
          <cell r="V52">
            <v>3805.888155698348</v>
          </cell>
        </row>
        <row r="54">
          <cell r="C54">
            <v>10409.91</v>
          </cell>
          <cell r="V54">
            <v>8706.552956399999</v>
          </cell>
        </row>
        <row r="55">
          <cell r="C55">
            <v>256936.89</v>
          </cell>
          <cell r="V55">
            <v>251615.5491779661</v>
          </cell>
        </row>
        <row r="60">
          <cell r="C60">
            <v>10860.200000000012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ЛЭП и ВЛЭП"/>
      <sheetName val="ВН, СН, НН"/>
      <sheetName val="аморт 25"/>
      <sheetName val="табл. 1.17 (новая)"/>
      <sheetName val="табл. 1.17.1"/>
      <sheetName val="зем нал 25"/>
      <sheetName val="энергия 25"/>
      <sheetName val="ГСМ25"/>
      <sheetName val="шины 25"/>
      <sheetName val="тр н-г 25"/>
      <sheetName val="ОСАГО 25"/>
      <sheetName val="тр-т 25"/>
      <sheetName val="связь 25"/>
      <sheetName val="хоз расх 25"/>
      <sheetName val="проч 25"/>
      <sheetName val="25 ээ весь"/>
      <sheetName val="аморт 20 тэ 22пс"/>
      <sheetName val="Табл. П 1.17 тэ 22 Пс"/>
      <sheetName val="ГСМ тэ"/>
      <sheetName val="шины 25 тэ"/>
      <sheetName val="ОСАГО тэ"/>
      <sheetName val="тр-т 25 тэ"/>
      <sheetName val="связь 25 тэ"/>
      <sheetName val="проездные"/>
      <sheetName val="25 тэ весь"/>
      <sheetName val="аморт 26"/>
      <sheetName val="энерг 26"/>
      <sheetName val="ГСМ 26"/>
      <sheetName val="шины 26"/>
      <sheetName val="тр н-г 26"/>
      <sheetName val="ОСАГО 26"/>
      <sheetName val="тр-т 26"/>
      <sheetName val="св 26"/>
      <sheetName val="хоз расх 26"/>
      <sheetName val="подписка 26"/>
      <sheetName val="охр тр 26"/>
      <sheetName val="сп од 26"/>
      <sheetName val="ремонт 26"/>
      <sheetName val="проч 26"/>
      <sheetName val="26 весь"/>
      <sheetName val="прибыль"/>
    </sheetNames>
    <sheetDataSet>
      <sheetData sheetId="3">
        <row r="13">
          <cell r="E13">
            <v>12064.787502619065</v>
          </cell>
        </row>
      </sheetData>
      <sheetData sheetId="15">
        <row r="7">
          <cell r="E7">
            <v>19474.1</v>
          </cell>
        </row>
        <row r="29">
          <cell r="E29">
            <v>35371.94867091282</v>
          </cell>
        </row>
      </sheetData>
      <sheetData sheetId="39">
        <row r="5">
          <cell r="U5">
            <v>7403.227956933097</v>
          </cell>
        </row>
        <row r="45">
          <cell r="U45">
            <v>16832.654027188837</v>
          </cell>
        </row>
      </sheetData>
      <sheetData sheetId="40">
        <row r="12">
          <cell r="H12">
            <v>293.63247217082494</v>
          </cell>
        </row>
        <row r="16">
          <cell r="H16">
            <v>1450.3312795439983</v>
          </cell>
        </row>
        <row r="17">
          <cell r="H17">
            <v>82.59970447183588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</sheetNames>
    <sheetDataSet>
      <sheetData sheetId="0">
        <row r="7">
          <cell r="B7" t="str">
            <v>Зарядно-выпрямительное устройство HTTP 40.110 XE</v>
          </cell>
          <cell r="O7">
            <v>508474.56999999995</v>
          </cell>
        </row>
        <row r="8">
          <cell r="B8" t="str">
            <v>Трансформатор тока</v>
          </cell>
          <cell r="O8">
            <v>254184.81</v>
          </cell>
        </row>
        <row r="9">
          <cell r="B9" t="str">
            <v>Кондиционер Kentatsu RSGC53HFAN1</v>
          </cell>
          <cell r="O9">
            <v>41271.19</v>
          </cell>
        </row>
        <row r="11">
          <cell r="B11" t="str">
            <v>Разъединитель</v>
          </cell>
          <cell r="O11">
            <v>260000</v>
          </cell>
        </row>
        <row r="28">
          <cell r="B28" t="str">
            <v>Техперевооружение ОПУ ГПП-8 "Кислородная"</v>
          </cell>
          <cell r="O28">
            <v>13328232.729999997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 основной"/>
      <sheetName val="Т2 ввода"/>
      <sheetName val="Т3 2015год"/>
      <sheetName val="Кр_опис"/>
      <sheetName val="Фин_План"/>
      <sheetName val="Ист.фин"/>
    </sheetNames>
    <sheetDataSet>
      <sheetData sheetId="5">
        <row r="14">
          <cell r="BJ14">
            <v>7.81112251684478</v>
          </cell>
        </row>
        <row r="20">
          <cell r="BJ20">
            <v>10.04842</v>
          </cell>
        </row>
        <row r="36">
          <cell r="BU36">
            <v>19.289824024754417</v>
          </cell>
          <cell r="CF36">
            <v>20.831821487531162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4"/>
  <sheetViews>
    <sheetView view="pageBreakPreview" zoomScaleSheetLayoutView="100" zoomScalePageLayoutView="0" workbookViewId="0" topLeftCell="A1">
      <selection activeCell="E9" sqref="E9"/>
    </sheetView>
  </sheetViews>
  <sheetFormatPr defaultColWidth="9.125" defaultRowHeight="12.75"/>
  <cols>
    <col min="1" max="11" width="9.125" style="1" customWidth="1"/>
    <col min="12" max="16384" width="9.125" style="1" customWidth="1"/>
  </cols>
  <sheetData>
    <row r="1" spans="1:11" ht="162" customHeight="1">
      <c r="A1" s="779" t="s">
        <v>434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</row>
    <row r="4" ht="12.75">
      <c r="C4" s="2"/>
    </row>
  </sheetData>
  <sheetProtection/>
  <mergeCells count="1">
    <mergeCell ref="A1:K1"/>
  </mergeCells>
  <printOptions horizontalCentered="1" verticalCentered="1"/>
  <pageMargins left="0.2362204724409449" right="0.2362204724409449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51"/>
  <sheetViews>
    <sheetView showGridLines="0" view="pageBreakPreview" zoomScale="85" zoomScaleNormal="115" zoomScaleSheetLayoutView="85" zoomScalePageLayoutView="0" workbookViewId="0" topLeftCell="A5">
      <selection activeCell="G14" sqref="G14"/>
    </sheetView>
  </sheetViews>
  <sheetFormatPr defaultColWidth="8.00390625" defaultRowHeight="12.75" outlineLevelRow="1" outlineLevelCol="1"/>
  <cols>
    <col min="1" max="1" width="5.00390625" style="344" customWidth="1"/>
    <col min="2" max="2" width="37.125" style="344" customWidth="1"/>
    <col min="3" max="3" width="8.875" style="344" bestFit="1" customWidth="1"/>
    <col min="4" max="4" width="6.875" style="344" customWidth="1"/>
    <col min="5" max="5" width="7.375" style="344" hidden="1" customWidth="1" outlineLevel="1"/>
    <col min="6" max="6" width="6.875" style="344" hidden="1" customWidth="1" outlineLevel="1"/>
    <col min="7" max="7" width="8.875" style="344" bestFit="1" customWidth="1" collapsed="1"/>
    <col min="8" max="8" width="7.50390625" style="344" customWidth="1"/>
    <col min="9" max="9" width="8.875" style="344" bestFit="1" customWidth="1"/>
    <col min="10" max="16384" width="8.00390625" style="344" customWidth="1"/>
  </cols>
  <sheetData>
    <row r="1" spans="1:8" ht="12.75">
      <c r="A1" s="342"/>
      <c r="B1" s="342"/>
      <c r="C1" s="342"/>
      <c r="D1" s="342"/>
      <c r="E1" s="925" t="s">
        <v>286</v>
      </c>
      <c r="F1" s="925"/>
      <c r="G1" s="925"/>
      <c r="H1" s="925"/>
    </row>
    <row r="2" spans="1:8" ht="15" customHeight="1">
      <c r="A2" s="926" t="s">
        <v>287</v>
      </c>
      <c r="B2" s="926"/>
      <c r="C2" s="926"/>
      <c r="D2" s="926"/>
      <c r="E2" s="926"/>
      <c r="F2" s="926"/>
      <c r="G2" s="926"/>
      <c r="H2" s="926"/>
    </row>
    <row r="3" spans="1:8" ht="15" customHeight="1">
      <c r="A3" s="926" t="s">
        <v>288</v>
      </c>
      <c r="B3" s="926"/>
      <c r="C3" s="926"/>
      <c r="D3" s="926"/>
      <c r="E3" s="926"/>
      <c r="F3" s="926"/>
      <c r="G3" s="926"/>
      <c r="H3" s="926"/>
    </row>
    <row r="4" spans="1:8" ht="15" customHeight="1">
      <c r="A4" s="926" t="s">
        <v>289</v>
      </c>
      <c r="B4" s="926"/>
      <c r="C4" s="926"/>
      <c r="D4" s="926"/>
      <c r="E4" s="926"/>
      <c r="F4" s="926"/>
      <c r="G4" s="926"/>
      <c r="H4" s="926"/>
    </row>
    <row r="5" spans="1:8" ht="15" customHeight="1">
      <c r="A5" s="910" t="str">
        <f>'18.2'!A3:H3</f>
        <v>по сетям ОАО "Электротехнический комплекс"</v>
      </c>
      <c r="B5" s="910"/>
      <c r="C5" s="910"/>
      <c r="D5" s="910"/>
      <c r="E5" s="910"/>
      <c r="F5" s="910"/>
      <c r="G5" s="910"/>
      <c r="H5" s="910"/>
    </row>
    <row r="6" spans="1:8" ht="15" customHeight="1">
      <c r="A6" s="369"/>
      <c r="B6" s="369"/>
      <c r="C6" s="369"/>
      <c r="D6" s="369"/>
      <c r="E6" s="369"/>
      <c r="F6" s="369"/>
      <c r="G6" s="369"/>
      <c r="H6" s="369"/>
    </row>
    <row r="7" spans="1:8" ht="13.5" thickBot="1">
      <c r="A7" s="342"/>
      <c r="B7" s="342"/>
      <c r="C7" s="342"/>
      <c r="D7" s="342"/>
      <c r="E7" s="342"/>
      <c r="F7" s="342"/>
      <c r="G7" s="924" t="s">
        <v>240</v>
      </c>
      <c r="H7" s="924"/>
    </row>
    <row r="8" spans="1:8" ht="40.5" customHeight="1">
      <c r="A8" s="848" t="s">
        <v>89</v>
      </c>
      <c r="B8" s="919" t="s">
        <v>241</v>
      </c>
      <c r="C8" s="863" t="str">
        <f>'18.2'!C5:D5</f>
        <v>Отчетный период
2013 год</v>
      </c>
      <c r="D8" s="921"/>
      <c r="E8" s="863" t="str">
        <f>'18.2'!E5:F5</f>
        <v>Базовый период
2013 год</v>
      </c>
      <c r="F8" s="921"/>
      <c r="G8" s="863" t="str">
        <f>'18.2'!G5:H5</f>
        <v>Период регулирования
2015 год</v>
      </c>
      <c r="H8" s="922"/>
    </row>
    <row r="9" spans="1:8" ht="39">
      <c r="A9" s="849"/>
      <c r="B9" s="920"/>
      <c r="C9" s="200" t="s">
        <v>15</v>
      </c>
      <c r="D9" s="404" t="s">
        <v>290</v>
      </c>
      <c r="E9" s="404" t="s">
        <v>15</v>
      </c>
      <c r="F9" s="203" t="s">
        <v>291</v>
      </c>
      <c r="G9" s="200" t="s">
        <v>15</v>
      </c>
      <c r="H9" s="201" t="s">
        <v>292</v>
      </c>
    </row>
    <row r="10" spans="1:8" ht="12.75" hidden="1">
      <c r="A10" s="849"/>
      <c r="B10" s="920"/>
      <c r="C10" s="370">
        <v>3</v>
      </c>
      <c r="D10" s="693">
        <v>4</v>
      </c>
      <c r="E10" s="693">
        <v>3</v>
      </c>
      <c r="F10" s="371">
        <v>4</v>
      </c>
      <c r="G10" s="370">
        <v>5</v>
      </c>
      <c r="H10" s="372">
        <v>6</v>
      </c>
    </row>
    <row r="11" spans="1:8" ht="13.5" thickBot="1">
      <c r="A11" s="373">
        <v>1</v>
      </c>
      <c r="B11" s="374">
        <v>2</v>
      </c>
      <c r="C11" s="375">
        <v>3</v>
      </c>
      <c r="D11" s="694">
        <v>4</v>
      </c>
      <c r="E11" s="694">
        <v>5</v>
      </c>
      <c r="F11" s="374">
        <v>6</v>
      </c>
      <c r="G11" s="375">
        <v>7</v>
      </c>
      <c r="H11" s="376">
        <v>8</v>
      </c>
    </row>
    <row r="12" spans="1:8" ht="12.75">
      <c r="A12" s="923" t="s">
        <v>70</v>
      </c>
      <c r="B12" s="377" t="s">
        <v>293</v>
      </c>
      <c r="C12" s="378">
        <f>C14</f>
        <v>3788.473269999997</v>
      </c>
      <c r="D12" s="695"/>
      <c r="E12" s="695"/>
      <c r="F12" s="379"/>
      <c r="G12" s="320">
        <f>G14</f>
        <v>16190.073344225713</v>
      </c>
      <c r="H12" s="380"/>
    </row>
    <row r="13" spans="1:8" ht="12.75">
      <c r="A13" s="915"/>
      <c r="B13" s="381" t="s">
        <v>243</v>
      </c>
      <c r="C13" s="382"/>
      <c r="D13" s="696"/>
      <c r="E13" s="697"/>
      <c r="F13" s="702"/>
      <c r="G13" s="325"/>
      <c r="H13" s="383"/>
    </row>
    <row r="14" spans="1:8" ht="12.75">
      <c r="A14" s="915"/>
      <c r="B14" s="332" t="s">
        <v>294</v>
      </c>
      <c r="C14" s="384">
        <f>'20'!C33</f>
        <v>3788.473269999997</v>
      </c>
      <c r="D14" s="334"/>
      <c r="E14" s="698"/>
      <c r="F14" s="703"/>
      <c r="G14" s="329">
        <f>'20'!E33</f>
        <v>16190.073344225713</v>
      </c>
      <c r="H14" s="335"/>
    </row>
    <row r="15" spans="1:8" ht="12.75" customHeight="1" hidden="1" outlineLevel="1">
      <c r="A15" s="85"/>
      <c r="B15" s="332" t="s">
        <v>16</v>
      </c>
      <c r="C15" s="384"/>
      <c r="D15" s="334"/>
      <c r="E15" s="698"/>
      <c r="F15" s="703"/>
      <c r="G15" s="333"/>
      <c r="H15" s="335"/>
    </row>
    <row r="16" spans="1:8" ht="12.75" customHeight="1" hidden="1" outlineLevel="1">
      <c r="A16" s="85"/>
      <c r="B16" s="332" t="s">
        <v>17</v>
      </c>
      <c r="C16" s="384"/>
      <c r="D16" s="334"/>
      <c r="E16" s="698"/>
      <c r="F16" s="703"/>
      <c r="G16" s="333"/>
      <c r="H16" s="335"/>
    </row>
    <row r="17" spans="1:8" ht="12.75" customHeight="1" hidden="1" outlineLevel="1">
      <c r="A17" s="85"/>
      <c r="B17" s="332" t="s">
        <v>18</v>
      </c>
      <c r="C17" s="384"/>
      <c r="D17" s="334"/>
      <c r="E17" s="698"/>
      <c r="F17" s="703"/>
      <c r="G17" s="333"/>
      <c r="H17" s="335"/>
    </row>
    <row r="18" spans="1:8" ht="12.75" hidden="1" outlineLevel="1">
      <c r="A18" s="85"/>
      <c r="B18" s="332" t="s">
        <v>19</v>
      </c>
      <c r="C18" s="384"/>
      <c r="D18" s="334"/>
      <c r="E18" s="698"/>
      <c r="F18" s="703"/>
      <c r="G18" s="333"/>
      <c r="H18" s="335"/>
    </row>
    <row r="19" spans="1:8" ht="12.75" collapsed="1">
      <c r="A19" s="915" t="s">
        <v>75</v>
      </c>
      <c r="B19" s="332" t="s">
        <v>295</v>
      </c>
      <c r="C19" s="384">
        <f>'[1]передача ээ'!$V$48</f>
        <v>30.536977277745574</v>
      </c>
      <c r="D19" s="334"/>
      <c r="E19" s="698">
        <v>421.1</v>
      </c>
      <c r="F19" s="703"/>
      <c r="G19" s="329">
        <f>'[2]прибыль'!$H$12</f>
        <v>293.63247217082494</v>
      </c>
      <c r="H19" s="335"/>
    </row>
    <row r="20" spans="1:8" ht="12.75">
      <c r="A20" s="915"/>
      <c r="B20" s="381" t="s">
        <v>243</v>
      </c>
      <c r="C20" s="382"/>
      <c r="D20" s="696"/>
      <c r="E20" s="697"/>
      <c r="F20" s="702"/>
      <c r="G20" s="706"/>
      <c r="H20" s="383"/>
    </row>
    <row r="21" spans="1:8" ht="12.75">
      <c r="A21" s="915"/>
      <c r="B21" s="332" t="s">
        <v>294</v>
      </c>
      <c r="C21" s="384"/>
      <c r="D21" s="334"/>
      <c r="E21" s="698"/>
      <c r="F21" s="703"/>
      <c r="G21" s="333"/>
      <c r="H21" s="335"/>
    </row>
    <row r="22" spans="1:8" ht="12.75">
      <c r="A22" s="85" t="s">
        <v>77</v>
      </c>
      <c r="B22" s="332" t="s">
        <v>296</v>
      </c>
      <c r="C22" s="384"/>
      <c r="D22" s="334"/>
      <c r="E22" s="698"/>
      <c r="F22" s="703"/>
      <c r="G22" s="333"/>
      <c r="H22" s="335"/>
    </row>
    <row r="23" spans="1:8" ht="12.75">
      <c r="A23" s="85" t="s">
        <v>79</v>
      </c>
      <c r="B23" s="332" t="s">
        <v>297</v>
      </c>
      <c r="C23" s="384"/>
      <c r="D23" s="334"/>
      <c r="E23" s="698"/>
      <c r="F23" s="703"/>
      <c r="G23" s="333"/>
      <c r="H23" s="335"/>
    </row>
    <row r="24" spans="1:8" ht="12.75">
      <c r="A24" s="85" t="s">
        <v>81</v>
      </c>
      <c r="B24" s="332" t="s">
        <v>298</v>
      </c>
      <c r="C24" s="384">
        <f>C25+C26+C27</f>
        <v>3861.78340209172</v>
      </c>
      <c r="D24" s="334"/>
      <c r="E24" s="698">
        <f>E25+E26</f>
        <v>0</v>
      </c>
      <c r="F24" s="703"/>
      <c r="G24" s="329">
        <f>G25+G26+G27</f>
        <v>82.59970447183588</v>
      </c>
      <c r="H24" s="335"/>
    </row>
    <row r="25" spans="1:8" ht="12.75">
      <c r="A25" s="85"/>
      <c r="B25" s="332" t="s">
        <v>299</v>
      </c>
      <c r="C25" s="384">
        <f>'[1]передача ээ'!$V$52</f>
        <v>3805.888155698348</v>
      </c>
      <c r="D25" s="334"/>
      <c r="E25" s="698"/>
      <c r="F25" s="703"/>
      <c r="G25" s="333"/>
      <c r="H25" s="335"/>
    </row>
    <row r="26" spans="1:8" ht="12.75">
      <c r="A26" s="85"/>
      <c r="B26" s="332" t="s">
        <v>300</v>
      </c>
      <c r="C26" s="384">
        <f>'[1]передача ээ'!$V$51</f>
        <v>55.895246393371835</v>
      </c>
      <c r="D26" s="334"/>
      <c r="E26" s="698"/>
      <c r="F26" s="703"/>
      <c r="G26" s="329">
        <f>'[2]прибыль'!$H$17</f>
        <v>82.59970447183588</v>
      </c>
      <c r="H26" s="335"/>
    </row>
    <row r="27" spans="1:8" ht="12.75">
      <c r="A27" s="85"/>
      <c r="B27" s="332" t="s">
        <v>301</v>
      </c>
      <c r="C27" s="385"/>
      <c r="D27" s="699"/>
      <c r="E27" s="700"/>
      <c r="F27" s="704"/>
      <c r="G27" s="333"/>
      <c r="H27" s="335"/>
    </row>
    <row r="28" spans="1:8" ht="12.75">
      <c r="A28" s="85" t="s">
        <v>101</v>
      </c>
      <c r="B28" s="332" t="s">
        <v>302</v>
      </c>
      <c r="C28" s="384">
        <f>C12+C19+C26</f>
        <v>3874.9054936711145</v>
      </c>
      <c r="D28" s="334"/>
      <c r="E28" s="698">
        <f>E19</f>
        <v>421.1</v>
      </c>
      <c r="F28" s="703"/>
      <c r="G28" s="329">
        <f>G12+G19+G24</f>
        <v>16566.305520868373</v>
      </c>
      <c r="H28" s="335"/>
    </row>
    <row r="29" spans="1:8" ht="12.75">
      <c r="A29" s="386" t="s">
        <v>103</v>
      </c>
      <c r="B29" s="332" t="s">
        <v>303</v>
      </c>
      <c r="C29" s="384">
        <f>C36</f>
        <v>487.2863048176627</v>
      </c>
      <c r="D29" s="334"/>
      <c r="E29" s="698">
        <f>E36</f>
        <v>264.4</v>
      </c>
      <c r="F29" s="703"/>
      <c r="G29" s="329">
        <f>G31+G36</f>
        <v>4763.592383717672</v>
      </c>
      <c r="H29" s="335"/>
    </row>
    <row r="30" spans="1:8" ht="12.75" customHeight="1">
      <c r="A30" s="387"/>
      <c r="B30" s="381" t="s">
        <v>140</v>
      </c>
      <c r="C30" s="382"/>
      <c r="D30" s="696"/>
      <c r="E30" s="697"/>
      <c r="F30" s="702"/>
      <c r="G30" s="706"/>
      <c r="H30" s="383"/>
    </row>
    <row r="31" spans="1:8" ht="12.75">
      <c r="A31" s="387"/>
      <c r="B31" s="332" t="s">
        <v>304</v>
      </c>
      <c r="C31" s="384"/>
      <c r="D31" s="334"/>
      <c r="E31" s="698"/>
      <c r="F31" s="703"/>
      <c r="G31" s="329">
        <f>G28*0.2</f>
        <v>3313.2611041736745</v>
      </c>
      <c r="H31" s="335"/>
    </row>
    <row r="32" spans="1:8" ht="12.75" hidden="1" outlineLevel="1">
      <c r="A32" s="387"/>
      <c r="B32" s="332" t="s">
        <v>16</v>
      </c>
      <c r="C32" s="384"/>
      <c r="D32" s="334"/>
      <c r="E32" s="698"/>
      <c r="F32" s="703"/>
      <c r="G32" s="333"/>
      <c r="H32" s="335"/>
    </row>
    <row r="33" spans="1:8" ht="12.75" hidden="1" outlineLevel="1">
      <c r="A33" s="387"/>
      <c r="B33" s="332" t="s">
        <v>17</v>
      </c>
      <c r="C33" s="384"/>
      <c r="D33" s="334"/>
      <c r="E33" s="698"/>
      <c r="F33" s="703"/>
      <c r="G33" s="333"/>
      <c r="H33" s="335"/>
    </row>
    <row r="34" spans="1:8" ht="12.75" hidden="1" outlineLevel="1">
      <c r="A34" s="387"/>
      <c r="B34" s="332" t="s">
        <v>18</v>
      </c>
      <c r="C34" s="384"/>
      <c r="D34" s="334"/>
      <c r="E34" s="698"/>
      <c r="F34" s="703"/>
      <c r="G34" s="333"/>
      <c r="H34" s="335"/>
    </row>
    <row r="35" spans="1:8" ht="12.75" hidden="1" outlineLevel="1">
      <c r="A35" s="387"/>
      <c r="B35" s="332" t="s">
        <v>19</v>
      </c>
      <c r="C35" s="384"/>
      <c r="D35" s="334"/>
      <c r="E35" s="698"/>
      <c r="F35" s="703"/>
      <c r="G35" s="333"/>
      <c r="H35" s="335"/>
    </row>
    <row r="36" spans="1:8" ht="12.75" collapsed="1">
      <c r="A36" s="387"/>
      <c r="B36" s="332" t="s">
        <v>305</v>
      </c>
      <c r="C36" s="384">
        <f>'[1]передача ээ'!$V$46</f>
        <v>487.2863048176627</v>
      </c>
      <c r="D36" s="334"/>
      <c r="E36" s="698">
        <v>264.4</v>
      </c>
      <c r="F36" s="703"/>
      <c r="G36" s="329">
        <f>'[2]прибыль'!$H$16</f>
        <v>1450.3312795439983</v>
      </c>
      <c r="H36" s="335"/>
    </row>
    <row r="37" spans="1:8" ht="12.75" hidden="1" outlineLevel="1">
      <c r="A37" s="387"/>
      <c r="B37" s="332" t="s">
        <v>16</v>
      </c>
      <c r="C37" s="384"/>
      <c r="D37" s="334"/>
      <c r="E37" s="698"/>
      <c r="F37" s="703"/>
      <c r="G37" s="333"/>
      <c r="H37" s="335"/>
    </row>
    <row r="38" spans="1:8" ht="12.75" hidden="1" outlineLevel="1">
      <c r="A38" s="387"/>
      <c r="B38" s="332" t="s">
        <v>17</v>
      </c>
      <c r="C38" s="384"/>
      <c r="D38" s="334"/>
      <c r="E38" s="698"/>
      <c r="F38" s="703"/>
      <c r="G38" s="333"/>
      <c r="H38" s="335"/>
    </row>
    <row r="39" spans="1:8" ht="12.75" hidden="1" outlineLevel="1">
      <c r="A39" s="387"/>
      <c r="B39" s="332" t="s">
        <v>18</v>
      </c>
      <c r="C39" s="384"/>
      <c r="D39" s="334"/>
      <c r="E39" s="698"/>
      <c r="F39" s="703"/>
      <c r="G39" s="333"/>
      <c r="H39" s="335"/>
    </row>
    <row r="40" spans="1:8" ht="12.75" hidden="1" outlineLevel="1">
      <c r="A40" s="387"/>
      <c r="B40" s="332" t="s">
        <v>19</v>
      </c>
      <c r="C40" s="384"/>
      <c r="D40" s="334"/>
      <c r="E40" s="698"/>
      <c r="F40" s="703"/>
      <c r="G40" s="333"/>
      <c r="H40" s="335"/>
    </row>
    <row r="41" spans="1:8" ht="12.75" collapsed="1">
      <c r="A41" s="915"/>
      <c r="B41" s="332" t="s">
        <v>306</v>
      </c>
      <c r="C41" s="384"/>
      <c r="D41" s="334"/>
      <c r="E41" s="698"/>
      <c r="F41" s="703"/>
      <c r="G41" s="333"/>
      <c r="H41" s="335"/>
    </row>
    <row r="42" spans="1:8" ht="12.75" customHeight="1">
      <c r="A42" s="915"/>
      <c r="B42" s="332" t="s">
        <v>307</v>
      </c>
      <c r="C42" s="384"/>
      <c r="D42" s="334"/>
      <c r="E42" s="698"/>
      <c r="F42" s="703"/>
      <c r="G42" s="333"/>
      <c r="H42" s="335"/>
    </row>
    <row r="43" spans="1:9" ht="13.5" thickBot="1">
      <c r="A43" s="127" t="s">
        <v>105</v>
      </c>
      <c r="B43" s="388" t="s">
        <v>308</v>
      </c>
      <c r="C43" s="389">
        <f>C12+C19+C24+C29</f>
        <v>8168.079954187125</v>
      </c>
      <c r="D43" s="339"/>
      <c r="E43" s="701">
        <f>E19+E24+E29</f>
        <v>685.5</v>
      </c>
      <c r="F43" s="705"/>
      <c r="G43" s="707">
        <f>G28+G29</f>
        <v>21329.897904586047</v>
      </c>
      <c r="H43" s="340"/>
      <c r="I43" s="390">
        <f>E43+'15 (ЭЭ)'!D40</f>
        <v>48614.25928</v>
      </c>
    </row>
    <row r="44" spans="1:8" ht="12.75" hidden="1" outlineLevel="1">
      <c r="A44" s="391"/>
      <c r="B44" s="392" t="s">
        <v>140</v>
      </c>
      <c r="C44" s="393"/>
      <c r="D44" s="393"/>
      <c r="E44" s="393"/>
      <c r="F44" s="393"/>
      <c r="G44" s="393"/>
      <c r="H44" s="393"/>
    </row>
    <row r="45" spans="1:8" ht="11.25" customHeight="1" hidden="1" outlineLevel="1">
      <c r="A45" s="394"/>
      <c r="B45" s="395" t="s">
        <v>16</v>
      </c>
      <c r="C45" s="396"/>
      <c r="D45" s="396"/>
      <c r="E45" s="396"/>
      <c r="F45" s="396"/>
      <c r="G45" s="396"/>
      <c r="H45" s="396"/>
    </row>
    <row r="46" spans="1:8" ht="11.25" customHeight="1" hidden="1" outlineLevel="1">
      <c r="A46" s="394"/>
      <c r="B46" s="395" t="s">
        <v>17</v>
      </c>
      <c r="C46" s="396"/>
      <c r="D46" s="396"/>
      <c r="E46" s="396"/>
      <c r="F46" s="396"/>
      <c r="G46" s="396"/>
      <c r="H46" s="396"/>
    </row>
    <row r="47" spans="1:8" ht="11.25" customHeight="1" hidden="1" outlineLevel="1">
      <c r="A47" s="394"/>
      <c r="B47" s="395" t="s">
        <v>18</v>
      </c>
      <c r="C47" s="397">
        <f>E47</f>
        <v>21329.897904586047</v>
      </c>
      <c r="D47" s="396"/>
      <c r="E47" s="397">
        <f>G47</f>
        <v>21329.897904586047</v>
      </c>
      <c r="F47" s="396"/>
      <c r="G47" s="397">
        <f>G43</f>
        <v>21329.897904586047</v>
      </c>
      <c r="H47" s="396"/>
    </row>
    <row r="48" spans="1:8" ht="11.25" customHeight="1" hidden="1" outlineLevel="1">
      <c r="A48" s="394"/>
      <c r="B48" s="395" t="s">
        <v>19</v>
      </c>
      <c r="C48" s="396"/>
      <c r="D48" s="396"/>
      <c r="E48" s="396"/>
      <c r="F48" s="396"/>
      <c r="G48" s="396"/>
      <c r="H48" s="396"/>
    </row>
    <row r="49" ht="12.75" collapsed="1"/>
    <row r="50" spans="1:8" ht="72.75" customHeight="1">
      <c r="A50" s="916" t="str">
        <f>'20.3'!A30:C30</f>
        <v>Начальник ПЭО</v>
      </c>
      <c r="B50" s="916"/>
      <c r="C50" s="916"/>
      <c r="D50" s="916"/>
      <c r="E50" s="916"/>
      <c r="F50" s="917" t="str">
        <f>'20.3'!D30</f>
        <v>М.С. Мироненко</v>
      </c>
      <c r="G50" s="918"/>
      <c r="H50" s="918"/>
    </row>
    <row r="51" ht="12.75">
      <c r="C51" s="390">
        <f>C43+'20'!C22</f>
        <v>18771.769984187125</v>
      </c>
    </row>
  </sheetData>
  <sheetProtection/>
  <mergeCells count="16">
    <mergeCell ref="G7:H7"/>
    <mergeCell ref="E1:H1"/>
    <mergeCell ref="A2:H2"/>
    <mergeCell ref="A3:H3"/>
    <mergeCell ref="A4:H4"/>
    <mergeCell ref="A5:H5"/>
    <mergeCell ref="A19:A21"/>
    <mergeCell ref="A41:A42"/>
    <mergeCell ref="A50:E50"/>
    <mergeCell ref="F50:H50"/>
    <mergeCell ref="A8:A10"/>
    <mergeCell ref="B8:B10"/>
    <mergeCell ref="C8:D8"/>
    <mergeCell ref="E8:F8"/>
    <mergeCell ref="G8:H8"/>
    <mergeCell ref="A12:A14"/>
  </mergeCells>
  <printOptions horizontalCentered="1"/>
  <pageMargins left="0.3937007874015748" right="0.2755905511811024" top="0.35433070866141736" bottom="0" header="0" footer="0"/>
  <pageSetup blackAndWhite="1"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L246"/>
  <sheetViews>
    <sheetView showGridLines="0" zoomScale="145" zoomScaleNormal="145" zoomScalePageLayoutView="0" workbookViewId="0" topLeftCell="A2">
      <selection activeCell="J28" sqref="J28"/>
    </sheetView>
  </sheetViews>
  <sheetFormatPr defaultColWidth="8.00390625" defaultRowHeight="12.75" outlineLevelRow="1" outlineLevelCol="1"/>
  <cols>
    <col min="1" max="1" width="5.00390625" style="398" customWidth="1"/>
    <col min="2" max="2" width="38.50390625" style="398" customWidth="1"/>
    <col min="3" max="3" width="11.375" style="398" customWidth="1"/>
    <col min="4" max="4" width="10.50390625" style="398" bestFit="1" customWidth="1"/>
    <col min="5" max="5" width="7.875" style="398" customWidth="1"/>
    <col min="6" max="6" width="8.125" style="398" hidden="1" customWidth="1" outlineLevel="1"/>
    <col min="7" max="7" width="8.50390625" style="398" hidden="1" customWidth="1" outlineLevel="1"/>
    <col min="8" max="8" width="15.00390625" style="398" hidden="1" customWidth="1" collapsed="1"/>
    <col min="9" max="9" width="9.375" style="398" hidden="1" customWidth="1"/>
    <col min="10" max="10" width="9.50390625" style="398" bestFit="1" customWidth="1"/>
    <col min="11" max="16384" width="8.00390625" style="398" customWidth="1"/>
  </cols>
  <sheetData>
    <row r="1" ht="12.75">
      <c r="K1" s="399" t="s">
        <v>309</v>
      </c>
    </row>
    <row r="2" spans="1:11" ht="37.5" customHeight="1">
      <c r="A2" s="929" t="s">
        <v>310</v>
      </c>
      <c r="B2" s="929"/>
      <c r="C2" s="929"/>
      <c r="D2" s="929"/>
      <c r="E2" s="929"/>
      <c r="F2" s="929"/>
      <c r="G2" s="929"/>
      <c r="H2" s="929"/>
      <c r="I2" s="929"/>
      <c r="J2" s="929"/>
      <c r="K2" s="929"/>
    </row>
    <row r="3" spans="1:11" ht="14.25" customHeight="1">
      <c r="A3" s="930" t="str">
        <f>'15 (ЭЭ)'!A4:E4</f>
        <v>ОАО "Электротехнический комплекс"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</row>
    <row r="4" spans="1:8" ht="15" customHeight="1" thickBot="1">
      <c r="A4" s="400"/>
      <c r="B4" s="400"/>
      <c r="C4" s="400"/>
      <c r="D4" s="400"/>
      <c r="E4" s="400"/>
      <c r="F4" s="400"/>
      <c r="G4" s="400"/>
      <c r="H4" s="400"/>
    </row>
    <row r="5" spans="1:11" ht="46.5" customHeight="1">
      <c r="A5" s="931" t="s">
        <v>89</v>
      </c>
      <c r="B5" s="933" t="s">
        <v>241</v>
      </c>
      <c r="C5" s="935" t="s">
        <v>311</v>
      </c>
      <c r="D5" s="937" t="str">
        <f>'21.3'!C8</f>
        <v>Отчетный период
2013 год</v>
      </c>
      <c r="E5" s="921"/>
      <c r="F5" s="863" t="str">
        <f>'21.3'!E8</f>
        <v>Базовый период
2013 год</v>
      </c>
      <c r="G5" s="922"/>
      <c r="H5" s="401"/>
      <c r="I5" s="402"/>
      <c r="J5" s="938" t="str">
        <f>'21.3'!G8</f>
        <v>Период регулирования
2015 год</v>
      </c>
      <c r="K5" s="922"/>
    </row>
    <row r="6" spans="1:11" ht="26.25">
      <c r="A6" s="932"/>
      <c r="B6" s="934"/>
      <c r="C6" s="936"/>
      <c r="D6" s="202" t="s">
        <v>15</v>
      </c>
      <c r="E6" s="203" t="s">
        <v>312</v>
      </c>
      <c r="F6" s="200" t="s">
        <v>15</v>
      </c>
      <c r="G6" s="201" t="s">
        <v>312</v>
      </c>
      <c r="H6" s="403"/>
      <c r="I6" s="403"/>
      <c r="J6" s="404" t="s">
        <v>15</v>
      </c>
      <c r="K6" s="201" t="s">
        <v>312</v>
      </c>
    </row>
    <row r="7" spans="1:12" ht="13.5" thickBot="1">
      <c r="A7" s="405">
        <v>1</v>
      </c>
      <c r="B7" s="406">
        <v>2</v>
      </c>
      <c r="C7" s="407">
        <v>3</v>
      </c>
      <c r="D7" s="408">
        <v>4</v>
      </c>
      <c r="E7" s="406">
        <v>5</v>
      </c>
      <c r="F7" s="409">
        <v>4</v>
      </c>
      <c r="G7" s="410">
        <v>5</v>
      </c>
      <c r="H7" s="411" t="s">
        <v>313</v>
      </c>
      <c r="I7" s="411" t="s">
        <v>314</v>
      </c>
      <c r="J7" s="406">
        <v>6</v>
      </c>
      <c r="K7" s="410">
        <v>7</v>
      </c>
      <c r="L7" s="412"/>
    </row>
    <row r="8" spans="1:12" ht="26.25">
      <c r="A8" s="413" t="s">
        <v>70</v>
      </c>
      <c r="B8" s="414" t="s">
        <v>315</v>
      </c>
      <c r="C8" s="415" t="s">
        <v>240</v>
      </c>
      <c r="D8" s="416">
        <f>'18.2'!C42</f>
        <v>79917.23012120998</v>
      </c>
      <c r="E8" s="417"/>
      <c r="F8" s="418">
        <f>'18.2'!E42</f>
        <v>37518.84928</v>
      </c>
      <c r="G8" s="419"/>
      <c r="H8" s="420">
        <f>SUM(H9:H13)-H10</f>
        <v>48252.28000000001</v>
      </c>
      <c r="I8" s="421">
        <f>+I9+I10+I13</f>
        <v>0.9999999999999997</v>
      </c>
      <c r="J8" s="422">
        <f>'18.2'!G42</f>
        <v>119324.86630455169</v>
      </c>
      <c r="K8" s="419"/>
      <c r="L8" s="412"/>
    </row>
    <row r="9" spans="1:12" ht="12.75" hidden="1" outlineLevel="1">
      <c r="A9" s="423" t="s">
        <v>316</v>
      </c>
      <c r="B9" s="424" t="s">
        <v>16</v>
      </c>
      <c r="C9" s="425"/>
      <c r="D9" s="426"/>
      <c r="E9" s="427"/>
      <c r="F9" s="428"/>
      <c r="G9" s="429"/>
      <c r="H9" s="420">
        <v>11433.52</v>
      </c>
      <c r="I9" s="420">
        <f>H9/H8</f>
        <v>0.23695294813011938</v>
      </c>
      <c r="J9" s="430"/>
      <c r="K9" s="429"/>
      <c r="L9" s="412"/>
    </row>
    <row r="10" spans="1:12" ht="12.75" hidden="1" outlineLevel="1">
      <c r="A10" s="423" t="s">
        <v>317</v>
      </c>
      <c r="B10" s="424" t="s">
        <v>318</v>
      </c>
      <c r="C10" s="425"/>
      <c r="D10" s="426"/>
      <c r="E10" s="427"/>
      <c r="F10" s="428"/>
      <c r="G10" s="429"/>
      <c r="H10" s="420">
        <v>26298.23</v>
      </c>
      <c r="I10" s="420">
        <f>H10/H8</f>
        <v>0.5450152821794119</v>
      </c>
      <c r="J10" s="430"/>
      <c r="K10" s="429"/>
      <c r="L10" s="412"/>
    </row>
    <row r="11" spans="1:12" ht="12.75" hidden="1" outlineLevel="1">
      <c r="A11" s="423"/>
      <c r="B11" s="424" t="s">
        <v>319</v>
      </c>
      <c r="C11" s="425"/>
      <c r="D11" s="426"/>
      <c r="E11" s="427"/>
      <c r="F11" s="428"/>
      <c r="G11" s="429"/>
      <c r="H11" s="420">
        <v>6654.66</v>
      </c>
      <c r="I11" s="420">
        <f>+H11/H8</f>
        <v>0.13791389754017838</v>
      </c>
      <c r="J11" s="430"/>
      <c r="K11" s="429"/>
      <c r="L11" s="412"/>
    </row>
    <row r="12" spans="1:12" ht="12.75" hidden="1" outlineLevel="1">
      <c r="A12" s="423"/>
      <c r="B12" s="424" t="s">
        <v>320</v>
      </c>
      <c r="C12" s="425"/>
      <c r="D12" s="426">
        <f>'18.2'!C42</f>
        <v>79917.23012120998</v>
      </c>
      <c r="E12" s="427"/>
      <c r="F12" s="428">
        <f>'18.2'!E42</f>
        <v>37518.84928</v>
      </c>
      <c r="G12" s="429"/>
      <c r="H12" s="420">
        <f>+H10-H11</f>
        <v>19643.57</v>
      </c>
      <c r="I12" s="420">
        <f>+H12/H8</f>
        <v>0.4071013846392335</v>
      </c>
      <c r="J12" s="430">
        <f>J8</f>
        <v>119324.86630455169</v>
      </c>
      <c r="K12" s="429"/>
      <c r="L12" s="412"/>
    </row>
    <row r="13" spans="1:12" ht="12.75" hidden="1" outlineLevel="1">
      <c r="A13" s="423" t="s">
        <v>321</v>
      </c>
      <c r="B13" s="424" t="s">
        <v>19</v>
      </c>
      <c r="C13" s="425"/>
      <c r="D13" s="426"/>
      <c r="E13" s="427"/>
      <c r="F13" s="428"/>
      <c r="G13" s="429"/>
      <c r="H13" s="420">
        <v>10520.53</v>
      </c>
      <c r="I13" s="420">
        <f>H13/H8</f>
        <v>0.21803176969046847</v>
      </c>
      <c r="J13" s="430"/>
      <c r="K13" s="429"/>
      <c r="L13" s="412"/>
    </row>
    <row r="14" spans="1:12" ht="12.75" hidden="1" collapsed="1">
      <c r="A14" s="423"/>
      <c r="B14" s="424"/>
      <c r="C14" s="425"/>
      <c r="D14" s="426"/>
      <c r="E14" s="427"/>
      <c r="F14" s="428"/>
      <c r="G14" s="429"/>
      <c r="H14" s="431"/>
      <c r="I14" s="431"/>
      <c r="J14" s="430"/>
      <c r="K14" s="429"/>
      <c r="L14" s="412"/>
    </row>
    <row r="15" spans="1:12" ht="26.25">
      <c r="A15" s="423" t="s">
        <v>75</v>
      </c>
      <c r="B15" s="424" t="s">
        <v>322</v>
      </c>
      <c r="C15" s="425" t="s">
        <v>240</v>
      </c>
      <c r="D15" s="432">
        <f>'21.3'!C43</f>
        <v>8168.079954187125</v>
      </c>
      <c r="E15" s="427"/>
      <c r="F15" s="433">
        <f>'21.3'!E43</f>
        <v>685.5</v>
      </c>
      <c r="G15" s="429"/>
      <c r="H15" s="431"/>
      <c r="I15" s="434"/>
      <c r="J15" s="435">
        <f>'21.3'!G43</f>
        <v>21329.897904586047</v>
      </c>
      <c r="K15" s="429"/>
      <c r="L15" s="412"/>
    </row>
    <row r="16" spans="1:12" ht="12.75" hidden="1" outlineLevel="1">
      <c r="A16" s="423" t="s">
        <v>248</v>
      </c>
      <c r="B16" s="424" t="s">
        <v>16</v>
      </c>
      <c r="C16" s="425"/>
      <c r="D16" s="426"/>
      <c r="E16" s="427"/>
      <c r="F16" s="428"/>
      <c r="G16" s="429"/>
      <c r="H16" s="436"/>
      <c r="I16" s="434"/>
      <c r="J16" s="430"/>
      <c r="K16" s="429"/>
      <c r="L16" s="412"/>
    </row>
    <row r="17" spans="1:12" ht="12.75" hidden="1" outlineLevel="1">
      <c r="A17" s="423" t="s">
        <v>250</v>
      </c>
      <c r="B17" s="424" t="s">
        <v>318</v>
      </c>
      <c r="C17" s="425"/>
      <c r="D17" s="426"/>
      <c r="E17" s="427"/>
      <c r="F17" s="428"/>
      <c r="G17" s="429"/>
      <c r="H17" s="436"/>
      <c r="I17" s="434"/>
      <c r="J17" s="430"/>
      <c r="K17" s="429"/>
      <c r="L17" s="412"/>
    </row>
    <row r="18" spans="1:12" ht="12.75" hidden="1" outlineLevel="1">
      <c r="A18" s="423"/>
      <c r="B18" s="424" t="s">
        <v>319</v>
      </c>
      <c r="C18" s="425"/>
      <c r="D18" s="426"/>
      <c r="E18" s="427"/>
      <c r="F18" s="428"/>
      <c r="G18" s="429"/>
      <c r="H18" s="436"/>
      <c r="I18" s="434"/>
      <c r="J18" s="430"/>
      <c r="K18" s="429"/>
      <c r="L18" s="412"/>
    </row>
    <row r="19" spans="1:12" ht="12.75" hidden="1" outlineLevel="1">
      <c r="A19" s="423"/>
      <c r="B19" s="424" t="s">
        <v>320</v>
      </c>
      <c r="C19" s="425"/>
      <c r="D19" s="426">
        <f>D15</f>
        <v>8168.079954187125</v>
      </c>
      <c r="E19" s="427"/>
      <c r="F19" s="428">
        <f>F15</f>
        <v>685.5</v>
      </c>
      <c r="G19" s="429"/>
      <c r="H19" s="436"/>
      <c r="I19" s="434"/>
      <c r="J19" s="430">
        <f>J15</f>
        <v>21329.897904586047</v>
      </c>
      <c r="K19" s="429"/>
      <c r="L19" s="412"/>
    </row>
    <row r="20" spans="1:11" ht="12.75" hidden="1" outlineLevel="1">
      <c r="A20" s="423" t="s">
        <v>252</v>
      </c>
      <c r="B20" s="424" t="s">
        <v>19</v>
      </c>
      <c r="C20" s="425"/>
      <c r="D20" s="426"/>
      <c r="E20" s="427"/>
      <c r="F20" s="428"/>
      <c r="G20" s="429"/>
      <c r="H20" s="437"/>
      <c r="I20" s="437"/>
      <c r="J20" s="430"/>
      <c r="K20" s="429"/>
    </row>
    <row r="21" spans="1:11" ht="12.75" collapsed="1">
      <c r="A21" s="423" t="s">
        <v>77</v>
      </c>
      <c r="B21" s="424" t="s">
        <v>323</v>
      </c>
      <c r="C21" s="425" t="s">
        <v>324</v>
      </c>
      <c r="D21" s="438">
        <f>D15/D8*100</f>
        <v>10.22067449259521</v>
      </c>
      <c r="E21" s="427"/>
      <c r="F21" s="439">
        <f>F15/F8*100</f>
        <v>1.8270816220512827</v>
      </c>
      <c r="G21" s="429"/>
      <c r="H21" s="437"/>
      <c r="I21" s="437"/>
      <c r="J21" s="440">
        <f>J15/J8*100</f>
        <v>17.87548443603193</v>
      </c>
      <c r="K21" s="429"/>
    </row>
    <row r="22" spans="1:11" ht="28.5" customHeight="1">
      <c r="A22" s="423" t="s">
        <v>79</v>
      </c>
      <c r="B22" s="424" t="s">
        <v>325</v>
      </c>
      <c r="C22" s="425" t="s">
        <v>240</v>
      </c>
      <c r="D22" s="441">
        <f>D8+D15</f>
        <v>88085.31007539711</v>
      </c>
      <c r="E22" s="427"/>
      <c r="F22" s="442">
        <f>F12+F15</f>
        <v>38204.34928</v>
      </c>
      <c r="G22" s="429"/>
      <c r="H22" s="443"/>
      <c r="I22" s="421"/>
      <c r="J22" s="444">
        <f>J8+J15</f>
        <v>140654.76420913773</v>
      </c>
      <c r="K22" s="429"/>
    </row>
    <row r="23" spans="1:11" ht="12.75" hidden="1" outlineLevel="1">
      <c r="A23" s="423" t="s">
        <v>167</v>
      </c>
      <c r="B23" s="424" t="s">
        <v>16</v>
      </c>
      <c r="C23" s="425"/>
      <c r="D23" s="445"/>
      <c r="E23" s="427"/>
      <c r="F23" s="446"/>
      <c r="G23" s="429"/>
      <c r="H23" s="421"/>
      <c r="I23" s="421"/>
      <c r="J23" s="447"/>
      <c r="K23" s="429"/>
    </row>
    <row r="24" spans="1:11" ht="12.75" hidden="1" outlineLevel="1">
      <c r="A24" s="423" t="s">
        <v>169</v>
      </c>
      <c r="B24" s="424" t="s">
        <v>318</v>
      </c>
      <c r="C24" s="425"/>
      <c r="D24" s="445"/>
      <c r="E24" s="427"/>
      <c r="F24" s="446"/>
      <c r="G24" s="429"/>
      <c r="H24" s="421"/>
      <c r="I24" s="421"/>
      <c r="J24" s="447"/>
      <c r="K24" s="429"/>
    </row>
    <row r="25" spans="1:11" ht="12.75" hidden="1" outlineLevel="1">
      <c r="A25" s="423"/>
      <c r="B25" s="424" t="s">
        <v>319</v>
      </c>
      <c r="C25" s="425"/>
      <c r="D25" s="445"/>
      <c r="E25" s="427"/>
      <c r="F25" s="446"/>
      <c r="G25" s="429"/>
      <c r="H25" s="421"/>
      <c r="I25" s="421"/>
      <c r="J25" s="447"/>
      <c r="K25" s="429"/>
    </row>
    <row r="26" spans="1:11" ht="12.75" hidden="1" outlineLevel="1">
      <c r="A26" s="423"/>
      <c r="B26" s="424" t="s">
        <v>320</v>
      </c>
      <c r="C26" s="425"/>
      <c r="D26" s="445">
        <f>D22</f>
        <v>88085.31007539711</v>
      </c>
      <c r="E26" s="427"/>
      <c r="F26" s="446">
        <f>F22</f>
        <v>38204.34928</v>
      </c>
      <c r="G26" s="429"/>
      <c r="H26" s="421"/>
      <c r="I26" s="421"/>
      <c r="J26" s="447">
        <f>J22</f>
        <v>140654.76420913773</v>
      </c>
      <c r="K26" s="429"/>
    </row>
    <row r="27" spans="1:11" ht="12.75" hidden="1" outlineLevel="1">
      <c r="A27" s="423" t="s">
        <v>171</v>
      </c>
      <c r="B27" s="424" t="s">
        <v>19</v>
      </c>
      <c r="C27" s="425"/>
      <c r="D27" s="445"/>
      <c r="E27" s="427"/>
      <c r="F27" s="446"/>
      <c r="G27" s="429"/>
      <c r="H27" s="421"/>
      <c r="I27" s="421"/>
      <c r="J27" s="447"/>
      <c r="K27" s="429"/>
    </row>
    <row r="28" spans="1:12" ht="27" collapsed="1" thickBot="1">
      <c r="A28" s="448" t="s">
        <v>81</v>
      </c>
      <c r="B28" s="449" t="s">
        <v>326</v>
      </c>
      <c r="C28" s="450" t="s">
        <v>327</v>
      </c>
      <c r="D28" s="451">
        <f>D22/6!H21/12*1000</f>
        <v>126487.38659526636</v>
      </c>
      <c r="E28" s="452"/>
      <c r="F28" s="453">
        <v>96073.74</v>
      </c>
      <c r="G28" s="454"/>
      <c r="H28" s="455"/>
      <c r="I28" s="455"/>
      <c r="J28" s="456">
        <f>J22/6!H33/12*1000</f>
        <v>199721.07331586487</v>
      </c>
      <c r="K28" s="454"/>
      <c r="L28" s="457">
        <f>J28/F28-100%</f>
        <v>1.0788310449438616</v>
      </c>
    </row>
    <row r="29" spans="1:11" ht="14.25" customHeight="1" hidden="1" outlineLevel="1">
      <c r="A29" s="458" t="s">
        <v>97</v>
      </c>
      <c r="B29" s="459" t="s">
        <v>16</v>
      </c>
      <c r="C29" s="460"/>
      <c r="D29" s="460"/>
      <c r="E29" s="460"/>
      <c r="F29" s="461"/>
      <c r="G29" s="461"/>
      <c r="J29" s="461"/>
      <c r="K29" s="461"/>
    </row>
    <row r="30" spans="1:11" ht="14.25" customHeight="1" hidden="1" outlineLevel="1">
      <c r="A30" s="462" t="s">
        <v>99</v>
      </c>
      <c r="B30" s="463" t="s">
        <v>318</v>
      </c>
      <c r="C30" s="464"/>
      <c r="D30" s="464"/>
      <c r="E30" s="464"/>
      <c r="F30" s="465"/>
      <c r="G30" s="465"/>
      <c r="J30" s="465"/>
      <c r="K30" s="465"/>
    </row>
    <row r="31" spans="1:11" ht="14.25" customHeight="1" hidden="1" outlineLevel="1">
      <c r="A31" s="462"/>
      <c r="B31" s="463" t="s">
        <v>319</v>
      </c>
      <c r="C31" s="464"/>
      <c r="D31" s="464"/>
      <c r="E31" s="464"/>
      <c r="F31" s="465"/>
      <c r="G31" s="465"/>
      <c r="J31" s="465"/>
      <c r="K31" s="465"/>
    </row>
    <row r="32" spans="1:11" ht="14.25" customHeight="1" hidden="1" outlineLevel="1">
      <c r="A32" s="462"/>
      <c r="B32" s="463" t="s">
        <v>320</v>
      </c>
      <c r="C32" s="464"/>
      <c r="D32" s="464"/>
      <c r="E32" s="464"/>
      <c r="F32" s="465"/>
      <c r="G32" s="465"/>
      <c r="J32" s="465"/>
      <c r="K32" s="465"/>
    </row>
    <row r="33" spans="1:11" ht="15" customHeight="1" hidden="1" outlineLevel="1">
      <c r="A33" s="462" t="s">
        <v>328</v>
      </c>
      <c r="B33" s="463" t="s">
        <v>19</v>
      </c>
      <c r="C33" s="464"/>
      <c r="D33" s="464"/>
      <c r="E33" s="464"/>
      <c r="F33" s="465"/>
      <c r="G33" s="465"/>
      <c r="J33" s="465"/>
      <c r="K33" s="465"/>
    </row>
    <row r="34" spans="1:11" ht="40.5" customHeight="1" hidden="1" outlineLevel="1">
      <c r="A34" s="466" t="s">
        <v>101</v>
      </c>
      <c r="B34" s="466" t="s">
        <v>329</v>
      </c>
      <c r="C34" s="467" t="s">
        <v>330</v>
      </c>
      <c r="D34" s="467"/>
      <c r="E34" s="467"/>
      <c r="F34" s="468"/>
      <c r="G34" s="468"/>
      <c r="H34" s="469"/>
      <c r="J34" s="468"/>
      <c r="K34" s="468"/>
    </row>
    <row r="35" spans="1:11" ht="18.75" customHeight="1" hidden="1" outlineLevel="1">
      <c r="A35" s="470" t="s">
        <v>331</v>
      </c>
      <c r="B35" s="466" t="s">
        <v>16</v>
      </c>
      <c r="C35" s="471"/>
      <c r="D35" s="471"/>
      <c r="E35" s="471"/>
      <c r="F35" s="465"/>
      <c r="G35" s="465"/>
      <c r="H35" s="469"/>
      <c r="J35" s="465"/>
      <c r="K35" s="465"/>
    </row>
    <row r="36" spans="1:11" ht="15" customHeight="1" hidden="1" outlineLevel="1">
      <c r="A36" s="462" t="s">
        <v>332</v>
      </c>
      <c r="B36" s="463" t="s">
        <v>318</v>
      </c>
      <c r="C36" s="472"/>
      <c r="D36" s="472"/>
      <c r="E36" s="472"/>
      <c r="F36" s="465"/>
      <c r="G36" s="465"/>
      <c r="H36" s="473"/>
      <c r="J36" s="465"/>
      <c r="K36" s="465"/>
    </row>
    <row r="37" spans="1:11" ht="15" customHeight="1" hidden="1" outlineLevel="1">
      <c r="A37" s="462"/>
      <c r="B37" s="463" t="s">
        <v>319</v>
      </c>
      <c r="C37" s="472"/>
      <c r="D37" s="472"/>
      <c r="E37" s="472"/>
      <c r="F37" s="465"/>
      <c r="G37" s="465"/>
      <c r="H37" s="473"/>
      <c r="J37" s="465"/>
      <c r="K37" s="465"/>
    </row>
    <row r="38" spans="1:11" ht="15" customHeight="1" hidden="1" outlineLevel="1">
      <c r="A38" s="462"/>
      <c r="B38" s="463" t="s">
        <v>320</v>
      </c>
      <c r="C38" s="472"/>
      <c r="D38" s="472"/>
      <c r="E38" s="472"/>
      <c r="F38" s="465"/>
      <c r="G38" s="465"/>
      <c r="H38" s="473"/>
      <c r="J38" s="465"/>
      <c r="K38" s="465"/>
    </row>
    <row r="39" spans="1:11" ht="15.75" customHeight="1" hidden="1" outlineLevel="1">
      <c r="A39" s="462" t="s">
        <v>333</v>
      </c>
      <c r="B39" s="463" t="s">
        <v>19</v>
      </c>
      <c r="C39" s="472"/>
      <c r="D39" s="472"/>
      <c r="E39" s="472"/>
      <c r="F39" s="465"/>
      <c r="G39" s="465"/>
      <c r="H39" s="474"/>
      <c r="J39" s="465"/>
      <c r="K39" s="465"/>
    </row>
    <row r="40" spans="1:10" ht="12.75" collapsed="1">
      <c r="A40" s="475"/>
      <c r="B40" s="476"/>
      <c r="C40" s="477"/>
      <c r="D40" s="477"/>
      <c r="E40" s="477"/>
      <c r="F40" s="478"/>
      <c r="G40" s="479"/>
      <c r="J40" s="478"/>
    </row>
    <row r="41" spans="1:7" ht="12.75">
      <c r="A41" s="475"/>
      <c r="B41" s="476"/>
      <c r="C41" s="477"/>
      <c r="D41" s="477"/>
      <c r="E41" s="477"/>
      <c r="F41" s="478"/>
      <c r="G41" s="479"/>
    </row>
    <row r="42" spans="1:11" ht="18">
      <c r="A42" s="927" t="str">
        <f>'21.3'!A50:E50</f>
        <v>Начальник ПЭО</v>
      </c>
      <c r="B42" s="927"/>
      <c r="C42" s="927"/>
      <c r="D42" s="480"/>
      <c r="E42" s="480"/>
      <c r="F42" s="928" t="str">
        <f>'21.3'!F50</f>
        <v>М.С. Мироненко</v>
      </c>
      <c r="G42" s="928"/>
      <c r="H42" s="928"/>
      <c r="I42" s="928"/>
      <c r="J42" s="928"/>
      <c r="K42" s="928"/>
    </row>
    <row r="43" spans="3:7" ht="12.75">
      <c r="C43" s="481"/>
      <c r="D43" s="481"/>
      <c r="E43" s="481"/>
      <c r="F43" s="482"/>
      <c r="G43" s="482"/>
    </row>
    <row r="44" spans="3:7" ht="12.75">
      <c r="C44" s="481"/>
      <c r="D44" s="481"/>
      <c r="E44" s="481"/>
      <c r="F44" s="482"/>
      <c r="G44" s="482"/>
    </row>
    <row r="45" spans="3:7" ht="12.75">
      <c r="C45" s="481"/>
      <c r="D45" s="481"/>
      <c r="E45" s="481"/>
      <c r="F45" s="482"/>
      <c r="G45" s="482"/>
    </row>
    <row r="46" spans="3:7" ht="12.75">
      <c r="C46" s="481"/>
      <c r="D46" s="481"/>
      <c r="E46" s="481"/>
      <c r="F46" s="482"/>
      <c r="G46" s="482"/>
    </row>
    <row r="47" spans="3:7" ht="12.75">
      <c r="C47" s="481"/>
      <c r="D47" s="481"/>
      <c r="E47" s="481"/>
      <c r="F47" s="482"/>
      <c r="G47" s="482"/>
    </row>
    <row r="48" spans="3:7" ht="12.75">
      <c r="C48" s="481"/>
      <c r="D48" s="481"/>
      <c r="E48" s="481"/>
      <c r="F48" s="482"/>
      <c r="G48" s="482"/>
    </row>
    <row r="49" spans="3:7" ht="12.75">
      <c r="C49" s="481"/>
      <c r="D49" s="481"/>
      <c r="E49" s="481"/>
      <c r="F49" s="482"/>
      <c r="G49" s="482"/>
    </row>
    <row r="50" spans="3:7" ht="12.75">
      <c r="C50" s="481"/>
      <c r="D50" s="481"/>
      <c r="E50" s="481"/>
      <c r="F50" s="482"/>
      <c r="G50" s="482"/>
    </row>
    <row r="51" spans="3:7" ht="12.75">
      <c r="C51" s="481"/>
      <c r="D51" s="481"/>
      <c r="E51" s="481"/>
      <c r="F51" s="482"/>
      <c r="G51" s="482"/>
    </row>
    <row r="52" spans="3:7" ht="12.75">
      <c r="C52" s="481"/>
      <c r="D52" s="481"/>
      <c r="E52" s="481"/>
      <c r="F52" s="482"/>
      <c r="G52" s="482"/>
    </row>
    <row r="53" spans="3:5" ht="12.75">
      <c r="C53" s="481"/>
      <c r="D53" s="481"/>
      <c r="E53" s="481"/>
    </row>
    <row r="54" spans="3:5" ht="12.75">
      <c r="C54" s="481"/>
      <c r="D54" s="481"/>
      <c r="E54" s="481"/>
    </row>
    <row r="55" spans="3:5" ht="12.75">
      <c r="C55" s="481"/>
      <c r="D55" s="481"/>
      <c r="E55" s="481"/>
    </row>
    <row r="56" spans="3:5" ht="12.75">
      <c r="C56" s="481"/>
      <c r="D56" s="481"/>
      <c r="E56" s="481"/>
    </row>
    <row r="57" spans="3:5" ht="12.75">
      <c r="C57" s="481"/>
      <c r="D57" s="481"/>
      <c r="E57" s="481"/>
    </row>
    <row r="58" spans="3:5" ht="12.75">
      <c r="C58" s="481"/>
      <c r="D58" s="481"/>
      <c r="E58" s="481"/>
    </row>
    <row r="59" spans="3:5" ht="12.75">
      <c r="C59" s="481"/>
      <c r="D59" s="481"/>
      <c r="E59" s="481"/>
    </row>
    <row r="60" spans="3:5" ht="12.75">
      <c r="C60" s="481"/>
      <c r="D60" s="481"/>
      <c r="E60" s="481"/>
    </row>
    <row r="61" spans="3:5" ht="12.75">
      <c r="C61" s="481"/>
      <c r="D61" s="481"/>
      <c r="E61" s="481"/>
    </row>
    <row r="62" spans="3:5" ht="12.75">
      <c r="C62" s="481"/>
      <c r="D62" s="481"/>
      <c r="E62" s="481"/>
    </row>
    <row r="63" spans="3:5" ht="12.75">
      <c r="C63" s="481"/>
      <c r="D63" s="481"/>
      <c r="E63" s="481"/>
    </row>
    <row r="64" spans="3:5" ht="12.75">
      <c r="C64" s="481"/>
      <c r="D64" s="481"/>
      <c r="E64" s="481"/>
    </row>
    <row r="65" spans="3:5" ht="12.75">
      <c r="C65" s="481"/>
      <c r="D65" s="481"/>
      <c r="E65" s="481"/>
    </row>
    <row r="66" spans="3:5" ht="12.75">
      <c r="C66" s="481"/>
      <c r="D66" s="481"/>
      <c r="E66" s="481"/>
    </row>
    <row r="67" spans="3:5" ht="12.75">
      <c r="C67" s="481"/>
      <c r="D67" s="481"/>
      <c r="E67" s="481"/>
    </row>
    <row r="68" spans="3:5" ht="12.75">
      <c r="C68" s="481"/>
      <c r="D68" s="481"/>
      <c r="E68" s="481"/>
    </row>
    <row r="69" spans="3:5" ht="12.75">
      <c r="C69" s="481"/>
      <c r="D69" s="481"/>
      <c r="E69" s="481"/>
    </row>
    <row r="70" spans="3:5" ht="12.75">
      <c r="C70" s="481"/>
      <c r="D70" s="481"/>
      <c r="E70" s="481"/>
    </row>
    <row r="71" spans="3:5" ht="12.75">
      <c r="C71" s="481"/>
      <c r="D71" s="481"/>
      <c r="E71" s="481"/>
    </row>
    <row r="72" spans="3:5" ht="12.75">
      <c r="C72" s="481"/>
      <c r="D72" s="481"/>
      <c r="E72" s="481"/>
    </row>
    <row r="73" spans="3:5" ht="12.75">
      <c r="C73" s="481"/>
      <c r="D73" s="481"/>
      <c r="E73" s="481"/>
    </row>
    <row r="74" spans="3:5" ht="12.75">
      <c r="C74" s="481"/>
      <c r="D74" s="481"/>
      <c r="E74" s="481"/>
    </row>
    <row r="75" spans="3:5" ht="12.75">
      <c r="C75" s="481"/>
      <c r="D75" s="481"/>
      <c r="E75" s="481"/>
    </row>
    <row r="76" spans="3:5" ht="12.75">
      <c r="C76" s="481"/>
      <c r="D76" s="481"/>
      <c r="E76" s="481"/>
    </row>
    <row r="77" spans="3:5" ht="12.75">
      <c r="C77" s="481"/>
      <c r="D77" s="481"/>
      <c r="E77" s="481"/>
    </row>
    <row r="78" spans="3:5" ht="12.75">
      <c r="C78" s="481"/>
      <c r="D78" s="481"/>
      <c r="E78" s="481"/>
    </row>
    <row r="79" spans="3:5" ht="12.75">
      <c r="C79" s="481"/>
      <c r="D79" s="481"/>
      <c r="E79" s="481"/>
    </row>
    <row r="80" spans="3:5" ht="12.75">
      <c r="C80" s="481"/>
      <c r="D80" s="481"/>
      <c r="E80" s="481"/>
    </row>
    <row r="81" spans="3:5" ht="12.75">
      <c r="C81" s="481"/>
      <c r="D81" s="481"/>
      <c r="E81" s="481"/>
    </row>
    <row r="82" spans="3:5" ht="12.75">
      <c r="C82" s="481"/>
      <c r="D82" s="481"/>
      <c r="E82" s="481"/>
    </row>
    <row r="83" spans="3:5" ht="12.75">
      <c r="C83" s="481"/>
      <c r="D83" s="481"/>
      <c r="E83" s="481"/>
    </row>
    <row r="84" spans="3:5" ht="12.75">
      <c r="C84" s="481"/>
      <c r="D84" s="481"/>
      <c r="E84" s="481"/>
    </row>
    <row r="85" spans="3:5" ht="12.75">
      <c r="C85" s="481"/>
      <c r="D85" s="481"/>
      <c r="E85" s="481"/>
    </row>
    <row r="86" spans="3:5" ht="12.75">
      <c r="C86" s="481"/>
      <c r="D86" s="481"/>
      <c r="E86" s="481"/>
    </row>
    <row r="87" spans="3:5" ht="12.75">
      <c r="C87" s="481"/>
      <c r="D87" s="481"/>
      <c r="E87" s="481"/>
    </row>
    <row r="88" spans="3:5" ht="12.75">
      <c r="C88" s="481"/>
      <c r="D88" s="481"/>
      <c r="E88" s="481"/>
    </row>
    <row r="89" spans="3:5" ht="12.75">
      <c r="C89" s="481"/>
      <c r="D89" s="481"/>
      <c r="E89" s="481"/>
    </row>
    <row r="90" spans="3:5" ht="12.75">
      <c r="C90" s="481"/>
      <c r="D90" s="481"/>
      <c r="E90" s="481"/>
    </row>
    <row r="91" spans="3:5" ht="12.75">
      <c r="C91" s="481"/>
      <c r="D91" s="481"/>
      <c r="E91" s="481"/>
    </row>
    <row r="92" spans="3:5" ht="12.75">
      <c r="C92" s="481"/>
      <c r="D92" s="481"/>
      <c r="E92" s="481"/>
    </row>
    <row r="93" spans="3:5" ht="12.75">
      <c r="C93" s="481"/>
      <c r="D93" s="481"/>
      <c r="E93" s="481"/>
    </row>
    <row r="94" spans="3:5" ht="12.75">
      <c r="C94" s="481"/>
      <c r="D94" s="481"/>
      <c r="E94" s="481"/>
    </row>
    <row r="95" spans="3:5" ht="12.75">
      <c r="C95" s="481"/>
      <c r="D95" s="481"/>
      <c r="E95" s="481"/>
    </row>
    <row r="96" spans="3:5" ht="12.75">
      <c r="C96" s="481"/>
      <c r="D96" s="481"/>
      <c r="E96" s="481"/>
    </row>
    <row r="97" spans="3:5" ht="12.75">
      <c r="C97" s="481"/>
      <c r="D97" s="481"/>
      <c r="E97" s="481"/>
    </row>
    <row r="98" spans="3:5" ht="12.75">
      <c r="C98" s="481"/>
      <c r="D98" s="481"/>
      <c r="E98" s="481"/>
    </row>
    <row r="99" spans="3:5" ht="12.75">
      <c r="C99" s="481"/>
      <c r="D99" s="481"/>
      <c r="E99" s="481"/>
    </row>
    <row r="100" spans="3:5" ht="12.75">
      <c r="C100" s="481"/>
      <c r="D100" s="481"/>
      <c r="E100" s="481"/>
    </row>
    <row r="101" spans="3:5" ht="12.75">
      <c r="C101" s="481"/>
      <c r="D101" s="481"/>
      <c r="E101" s="481"/>
    </row>
    <row r="102" spans="3:5" ht="12.75">
      <c r="C102" s="481"/>
      <c r="D102" s="481"/>
      <c r="E102" s="481"/>
    </row>
    <row r="103" spans="3:5" ht="12.75">
      <c r="C103" s="481"/>
      <c r="D103" s="481"/>
      <c r="E103" s="481"/>
    </row>
    <row r="104" spans="3:5" ht="12.75">
      <c r="C104" s="481"/>
      <c r="D104" s="481"/>
      <c r="E104" s="481"/>
    </row>
    <row r="105" spans="3:5" ht="12.75">
      <c r="C105" s="481"/>
      <c r="D105" s="481"/>
      <c r="E105" s="481"/>
    </row>
    <row r="106" spans="3:5" ht="12.75">
      <c r="C106" s="481"/>
      <c r="D106" s="481"/>
      <c r="E106" s="481"/>
    </row>
    <row r="107" spans="3:5" ht="12.75">
      <c r="C107" s="481"/>
      <c r="D107" s="481"/>
      <c r="E107" s="481"/>
    </row>
    <row r="108" spans="3:5" ht="12.75">
      <c r="C108" s="481"/>
      <c r="D108" s="481"/>
      <c r="E108" s="481"/>
    </row>
    <row r="109" spans="3:5" ht="12.75">
      <c r="C109" s="481"/>
      <c r="D109" s="481"/>
      <c r="E109" s="481"/>
    </row>
    <row r="110" spans="3:5" ht="12.75">
      <c r="C110" s="481"/>
      <c r="D110" s="481"/>
      <c r="E110" s="481"/>
    </row>
    <row r="111" spans="3:5" ht="12.75">
      <c r="C111" s="481"/>
      <c r="D111" s="481"/>
      <c r="E111" s="481"/>
    </row>
    <row r="112" spans="3:5" ht="12.75">
      <c r="C112" s="481"/>
      <c r="D112" s="481"/>
      <c r="E112" s="481"/>
    </row>
    <row r="113" spans="3:5" ht="12.75">
      <c r="C113" s="481"/>
      <c r="D113" s="481"/>
      <c r="E113" s="481"/>
    </row>
    <row r="114" spans="3:5" ht="12.75">
      <c r="C114" s="481"/>
      <c r="D114" s="481"/>
      <c r="E114" s="481"/>
    </row>
    <row r="115" spans="3:5" ht="12.75">
      <c r="C115" s="481"/>
      <c r="D115" s="481"/>
      <c r="E115" s="481"/>
    </row>
    <row r="116" spans="3:5" ht="12.75">
      <c r="C116" s="481"/>
      <c r="D116" s="481"/>
      <c r="E116" s="481"/>
    </row>
    <row r="117" spans="3:5" ht="12.75">
      <c r="C117" s="481"/>
      <c r="D117" s="481"/>
      <c r="E117" s="481"/>
    </row>
    <row r="118" spans="3:5" ht="12.75">
      <c r="C118" s="481"/>
      <c r="D118" s="481"/>
      <c r="E118" s="481"/>
    </row>
    <row r="119" spans="3:5" ht="12.75">
      <c r="C119" s="481"/>
      <c r="D119" s="481"/>
      <c r="E119" s="481"/>
    </row>
    <row r="120" spans="3:5" ht="12.75">
      <c r="C120" s="481"/>
      <c r="D120" s="481"/>
      <c r="E120" s="481"/>
    </row>
    <row r="121" spans="3:5" ht="12.75">
      <c r="C121" s="481"/>
      <c r="D121" s="481"/>
      <c r="E121" s="481"/>
    </row>
    <row r="122" spans="3:5" ht="12.75">
      <c r="C122" s="481"/>
      <c r="D122" s="481"/>
      <c r="E122" s="481"/>
    </row>
    <row r="123" spans="3:5" ht="12.75">
      <c r="C123" s="481"/>
      <c r="D123" s="481"/>
      <c r="E123" s="481"/>
    </row>
    <row r="124" spans="3:5" ht="12.75">
      <c r="C124" s="481"/>
      <c r="D124" s="481"/>
      <c r="E124" s="481"/>
    </row>
    <row r="125" spans="3:5" ht="12.75">
      <c r="C125" s="481"/>
      <c r="D125" s="481"/>
      <c r="E125" s="481"/>
    </row>
    <row r="126" spans="3:5" ht="12.75">
      <c r="C126" s="481"/>
      <c r="D126" s="481"/>
      <c r="E126" s="481"/>
    </row>
    <row r="127" spans="3:5" ht="12.75">
      <c r="C127" s="481"/>
      <c r="D127" s="481"/>
      <c r="E127" s="481"/>
    </row>
    <row r="128" spans="3:5" ht="12.75">
      <c r="C128" s="481"/>
      <c r="D128" s="481"/>
      <c r="E128" s="481"/>
    </row>
    <row r="129" spans="3:5" ht="12.75">
      <c r="C129" s="481"/>
      <c r="D129" s="481"/>
      <c r="E129" s="481"/>
    </row>
    <row r="130" spans="3:5" ht="12.75">
      <c r="C130" s="481"/>
      <c r="D130" s="481"/>
      <c r="E130" s="481"/>
    </row>
    <row r="131" spans="3:5" ht="12.75">
      <c r="C131" s="481"/>
      <c r="D131" s="481"/>
      <c r="E131" s="481"/>
    </row>
    <row r="132" spans="3:5" ht="12.75">
      <c r="C132" s="481"/>
      <c r="D132" s="481"/>
      <c r="E132" s="481"/>
    </row>
    <row r="133" spans="3:5" ht="12.75">
      <c r="C133" s="481"/>
      <c r="D133" s="481"/>
      <c r="E133" s="481"/>
    </row>
    <row r="134" spans="3:5" ht="12.75">
      <c r="C134" s="481"/>
      <c r="D134" s="481"/>
      <c r="E134" s="481"/>
    </row>
    <row r="135" spans="3:5" ht="12.75">
      <c r="C135" s="481"/>
      <c r="D135" s="481"/>
      <c r="E135" s="481"/>
    </row>
    <row r="136" spans="3:5" ht="12.75">
      <c r="C136" s="481"/>
      <c r="D136" s="481"/>
      <c r="E136" s="481"/>
    </row>
    <row r="137" spans="3:5" ht="12.75">
      <c r="C137" s="481"/>
      <c r="D137" s="481"/>
      <c r="E137" s="481"/>
    </row>
    <row r="138" spans="3:5" ht="12.75">
      <c r="C138" s="481"/>
      <c r="D138" s="481"/>
      <c r="E138" s="481"/>
    </row>
    <row r="139" spans="3:5" ht="12.75">
      <c r="C139" s="481"/>
      <c r="D139" s="481"/>
      <c r="E139" s="481"/>
    </row>
    <row r="140" spans="3:5" ht="12.75">
      <c r="C140" s="481"/>
      <c r="D140" s="481"/>
      <c r="E140" s="481"/>
    </row>
    <row r="141" spans="3:5" ht="12.75">
      <c r="C141" s="481"/>
      <c r="D141" s="481"/>
      <c r="E141" s="481"/>
    </row>
    <row r="142" spans="3:5" ht="12.75">
      <c r="C142" s="481"/>
      <c r="D142" s="481"/>
      <c r="E142" s="481"/>
    </row>
    <row r="143" spans="3:5" ht="12.75">
      <c r="C143" s="481"/>
      <c r="D143" s="481"/>
      <c r="E143" s="481"/>
    </row>
    <row r="144" spans="3:5" ht="12.75">
      <c r="C144" s="481"/>
      <c r="D144" s="481"/>
      <c r="E144" s="481"/>
    </row>
    <row r="145" spans="3:5" ht="12.75">
      <c r="C145" s="481"/>
      <c r="D145" s="481"/>
      <c r="E145" s="481"/>
    </row>
    <row r="146" spans="3:5" ht="12.75">
      <c r="C146" s="481"/>
      <c r="D146" s="481"/>
      <c r="E146" s="481"/>
    </row>
    <row r="147" spans="3:5" ht="12.75">
      <c r="C147" s="481"/>
      <c r="D147" s="481"/>
      <c r="E147" s="481"/>
    </row>
    <row r="148" spans="3:5" ht="12.75">
      <c r="C148" s="481"/>
      <c r="D148" s="481"/>
      <c r="E148" s="481"/>
    </row>
    <row r="149" spans="3:5" ht="12.75">
      <c r="C149" s="481"/>
      <c r="D149" s="481"/>
      <c r="E149" s="481"/>
    </row>
    <row r="150" spans="3:5" ht="12.75">
      <c r="C150" s="481"/>
      <c r="D150" s="481"/>
      <c r="E150" s="481"/>
    </row>
    <row r="151" spans="3:5" ht="12.75">
      <c r="C151" s="481"/>
      <c r="D151" s="481"/>
      <c r="E151" s="481"/>
    </row>
    <row r="152" spans="3:5" ht="12.75">
      <c r="C152" s="481"/>
      <c r="D152" s="481"/>
      <c r="E152" s="481"/>
    </row>
    <row r="153" spans="3:5" ht="12.75">
      <c r="C153" s="481"/>
      <c r="D153" s="481"/>
      <c r="E153" s="481"/>
    </row>
    <row r="154" spans="3:5" ht="12.75">
      <c r="C154" s="481"/>
      <c r="D154" s="481"/>
      <c r="E154" s="481"/>
    </row>
    <row r="155" spans="3:5" ht="12.75">
      <c r="C155" s="481"/>
      <c r="D155" s="481"/>
      <c r="E155" s="481"/>
    </row>
    <row r="156" spans="3:5" ht="12.75">
      <c r="C156" s="481"/>
      <c r="D156" s="481"/>
      <c r="E156" s="481"/>
    </row>
    <row r="157" spans="3:5" ht="12.75">
      <c r="C157" s="481"/>
      <c r="D157" s="481"/>
      <c r="E157" s="481"/>
    </row>
    <row r="158" spans="3:5" ht="12.75">
      <c r="C158" s="481"/>
      <c r="D158" s="481"/>
      <c r="E158" s="481"/>
    </row>
    <row r="159" spans="3:5" ht="12.75">
      <c r="C159" s="481"/>
      <c r="D159" s="481"/>
      <c r="E159" s="481"/>
    </row>
    <row r="160" spans="3:5" ht="12.75">
      <c r="C160" s="481"/>
      <c r="D160" s="481"/>
      <c r="E160" s="481"/>
    </row>
    <row r="161" spans="3:5" ht="12.75">
      <c r="C161" s="481"/>
      <c r="D161" s="481"/>
      <c r="E161" s="481"/>
    </row>
    <row r="162" spans="3:5" ht="12.75">
      <c r="C162" s="481"/>
      <c r="D162" s="481"/>
      <c r="E162" s="481"/>
    </row>
    <row r="163" spans="3:5" ht="12.75">
      <c r="C163" s="481"/>
      <c r="D163" s="481"/>
      <c r="E163" s="481"/>
    </row>
    <row r="164" spans="3:5" ht="12.75">
      <c r="C164" s="481"/>
      <c r="D164" s="481"/>
      <c r="E164" s="481"/>
    </row>
    <row r="165" spans="3:5" ht="12.75">
      <c r="C165" s="481"/>
      <c r="D165" s="481"/>
      <c r="E165" s="481"/>
    </row>
    <row r="166" spans="3:5" ht="12.75">
      <c r="C166" s="481"/>
      <c r="D166" s="481"/>
      <c r="E166" s="481"/>
    </row>
    <row r="167" spans="3:5" ht="12.75">
      <c r="C167" s="481"/>
      <c r="D167" s="481"/>
      <c r="E167" s="481"/>
    </row>
    <row r="168" spans="3:5" ht="12.75">
      <c r="C168" s="481"/>
      <c r="D168" s="481"/>
      <c r="E168" s="481"/>
    </row>
    <row r="169" spans="3:5" ht="12.75">
      <c r="C169" s="481"/>
      <c r="D169" s="481"/>
      <c r="E169" s="481"/>
    </row>
    <row r="170" spans="3:5" ht="12.75">
      <c r="C170" s="481"/>
      <c r="D170" s="481"/>
      <c r="E170" s="481"/>
    </row>
    <row r="171" spans="3:5" ht="12.75">
      <c r="C171" s="481"/>
      <c r="D171" s="481"/>
      <c r="E171" s="481"/>
    </row>
    <row r="172" spans="3:5" ht="12.75">
      <c r="C172" s="481"/>
      <c r="D172" s="481"/>
      <c r="E172" s="481"/>
    </row>
    <row r="173" spans="3:5" ht="12.75">
      <c r="C173" s="481"/>
      <c r="D173" s="481"/>
      <c r="E173" s="481"/>
    </row>
    <row r="174" spans="3:5" ht="12.75">
      <c r="C174" s="481"/>
      <c r="D174" s="481"/>
      <c r="E174" s="481"/>
    </row>
    <row r="175" spans="3:5" ht="12.75">
      <c r="C175" s="481"/>
      <c r="D175" s="481"/>
      <c r="E175" s="481"/>
    </row>
    <row r="176" spans="3:5" ht="12.75">
      <c r="C176" s="481"/>
      <c r="D176" s="481"/>
      <c r="E176" s="481"/>
    </row>
    <row r="177" spans="3:5" ht="12.75">
      <c r="C177" s="481"/>
      <c r="D177" s="481"/>
      <c r="E177" s="481"/>
    </row>
    <row r="178" spans="3:5" ht="12.75">
      <c r="C178" s="481"/>
      <c r="D178" s="481"/>
      <c r="E178" s="481"/>
    </row>
    <row r="179" spans="3:5" ht="12.75">
      <c r="C179" s="481"/>
      <c r="D179" s="481"/>
      <c r="E179" s="481"/>
    </row>
    <row r="180" spans="3:5" ht="12.75">
      <c r="C180" s="481"/>
      <c r="D180" s="481"/>
      <c r="E180" s="481"/>
    </row>
    <row r="181" spans="3:5" ht="12.75">
      <c r="C181" s="481"/>
      <c r="D181" s="481"/>
      <c r="E181" s="481"/>
    </row>
    <row r="182" spans="3:5" ht="12.75">
      <c r="C182" s="481"/>
      <c r="D182" s="481"/>
      <c r="E182" s="481"/>
    </row>
    <row r="183" spans="3:5" ht="12.75">
      <c r="C183" s="481"/>
      <c r="D183" s="481"/>
      <c r="E183" s="481"/>
    </row>
    <row r="184" spans="3:5" ht="12.75">
      <c r="C184" s="481"/>
      <c r="D184" s="481"/>
      <c r="E184" s="481"/>
    </row>
    <row r="185" spans="3:5" ht="12.75">
      <c r="C185" s="481"/>
      <c r="D185" s="481"/>
      <c r="E185" s="481"/>
    </row>
    <row r="186" spans="3:5" ht="12.75">
      <c r="C186" s="481"/>
      <c r="D186" s="481"/>
      <c r="E186" s="481"/>
    </row>
    <row r="187" spans="3:5" ht="12.75">
      <c r="C187" s="481"/>
      <c r="D187" s="481"/>
      <c r="E187" s="481"/>
    </row>
    <row r="188" spans="3:5" ht="12.75">
      <c r="C188" s="481"/>
      <c r="D188" s="481"/>
      <c r="E188" s="481"/>
    </row>
    <row r="189" spans="3:5" ht="12.75">
      <c r="C189" s="481"/>
      <c r="D189" s="481"/>
      <c r="E189" s="481"/>
    </row>
    <row r="190" spans="3:5" ht="12.75">
      <c r="C190" s="481"/>
      <c r="D190" s="481"/>
      <c r="E190" s="481"/>
    </row>
    <row r="191" spans="3:5" ht="12.75">
      <c r="C191" s="481"/>
      <c r="D191" s="481"/>
      <c r="E191" s="481"/>
    </row>
    <row r="192" spans="3:5" ht="12.75">
      <c r="C192" s="481"/>
      <c r="D192" s="481"/>
      <c r="E192" s="481"/>
    </row>
    <row r="193" spans="3:5" ht="12.75">
      <c r="C193" s="481"/>
      <c r="D193" s="481"/>
      <c r="E193" s="481"/>
    </row>
    <row r="194" spans="3:5" ht="12.75">
      <c r="C194" s="481"/>
      <c r="D194" s="481"/>
      <c r="E194" s="481"/>
    </row>
    <row r="195" spans="3:5" ht="12.75">
      <c r="C195" s="481"/>
      <c r="D195" s="481"/>
      <c r="E195" s="481"/>
    </row>
    <row r="196" spans="3:5" ht="12.75">
      <c r="C196" s="481"/>
      <c r="D196" s="481"/>
      <c r="E196" s="481"/>
    </row>
    <row r="197" spans="3:5" ht="12.75">
      <c r="C197" s="481"/>
      <c r="D197" s="481"/>
      <c r="E197" s="481"/>
    </row>
    <row r="198" spans="3:5" ht="12.75">
      <c r="C198" s="481"/>
      <c r="D198" s="481"/>
      <c r="E198" s="481"/>
    </row>
    <row r="199" spans="3:5" ht="12.75">
      <c r="C199" s="481"/>
      <c r="D199" s="481"/>
      <c r="E199" s="481"/>
    </row>
    <row r="200" spans="3:5" ht="12.75">
      <c r="C200" s="481"/>
      <c r="D200" s="481"/>
      <c r="E200" s="481"/>
    </row>
    <row r="201" spans="3:5" ht="12.75">
      <c r="C201" s="481"/>
      <c r="D201" s="481"/>
      <c r="E201" s="481"/>
    </row>
    <row r="202" spans="3:5" ht="12.75">
      <c r="C202" s="481"/>
      <c r="D202" s="481"/>
      <c r="E202" s="481"/>
    </row>
    <row r="203" spans="3:5" ht="12.75">
      <c r="C203" s="481"/>
      <c r="D203" s="481"/>
      <c r="E203" s="481"/>
    </row>
    <row r="204" spans="3:5" ht="12.75">
      <c r="C204" s="481"/>
      <c r="D204" s="481"/>
      <c r="E204" s="481"/>
    </row>
    <row r="205" spans="3:5" ht="12.75">
      <c r="C205" s="481"/>
      <c r="D205" s="481"/>
      <c r="E205" s="481"/>
    </row>
    <row r="206" spans="3:5" ht="12.75">
      <c r="C206" s="481"/>
      <c r="D206" s="481"/>
      <c r="E206" s="481"/>
    </row>
    <row r="207" spans="3:5" ht="12.75">
      <c r="C207" s="481"/>
      <c r="D207" s="481"/>
      <c r="E207" s="481"/>
    </row>
    <row r="208" spans="3:5" ht="12.75">
      <c r="C208" s="481"/>
      <c r="D208" s="481"/>
      <c r="E208" s="481"/>
    </row>
    <row r="209" spans="3:5" ht="12.75">
      <c r="C209" s="481"/>
      <c r="D209" s="481"/>
      <c r="E209" s="481"/>
    </row>
    <row r="210" spans="3:5" ht="12.75">
      <c r="C210" s="481"/>
      <c r="D210" s="481"/>
      <c r="E210" s="481"/>
    </row>
    <row r="211" spans="3:5" ht="12.75">
      <c r="C211" s="481"/>
      <c r="D211" s="481"/>
      <c r="E211" s="481"/>
    </row>
    <row r="212" spans="3:5" ht="12.75">
      <c r="C212" s="481"/>
      <c r="D212" s="481"/>
      <c r="E212" s="481"/>
    </row>
    <row r="213" spans="3:5" ht="12.75">
      <c r="C213" s="481"/>
      <c r="D213" s="481"/>
      <c r="E213" s="481"/>
    </row>
    <row r="214" spans="3:5" ht="12.75">
      <c r="C214" s="481"/>
      <c r="D214" s="481"/>
      <c r="E214" s="481"/>
    </row>
    <row r="215" spans="3:5" ht="12.75">
      <c r="C215" s="481"/>
      <c r="D215" s="481"/>
      <c r="E215" s="481"/>
    </row>
    <row r="216" spans="3:5" ht="12.75">
      <c r="C216" s="481"/>
      <c r="D216" s="481"/>
      <c r="E216" s="481"/>
    </row>
    <row r="217" spans="3:5" ht="12.75">
      <c r="C217" s="481"/>
      <c r="D217" s="481"/>
      <c r="E217" s="481"/>
    </row>
    <row r="218" spans="3:5" ht="12.75">
      <c r="C218" s="481"/>
      <c r="D218" s="481"/>
      <c r="E218" s="481"/>
    </row>
    <row r="219" spans="3:5" ht="12.75">
      <c r="C219" s="481"/>
      <c r="D219" s="481"/>
      <c r="E219" s="481"/>
    </row>
    <row r="220" spans="3:5" ht="12.75">
      <c r="C220" s="481"/>
      <c r="D220" s="481"/>
      <c r="E220" s="481"/>
    </row>
    <row r="221" spans="3:5" ht="12.75">
      <c r="C221" s="481"/>
      <c r="D221" s="481"/>
      <c r="E221" s="481"/>
    </row>
    <row r="222" spans="3:5" ht="12.75">
      <c r="C222" s="481"/>
      <c r="D222" s="481"/>
      <c r="E222" s="481"/>
    </row>
    <row r="223" spans="3:5" ht="12.75">
      <c r="C223" s="481"/>
      <c r="D223" s="481"/>
      <c r="E223" s="481"/>
    </row>
    <row r="224" spans="3:5" ht="12.75">
      <c r="C224" s="481"/>
      <c r="D224" s="481"/>
      <c r="E224" s="481"/>
    </row>
    <row r="225" spans="3:5" ht="12.75">
      <c r="C225" s="481"/>
      <c r="D225" s="481"/>
      <c r="E225" s="481"/>
    </row>
    <row r="226" spans="3:5" ht="12.75">
      <c r="C226" s="481"/>
      <c r="D226" s="481"/>
      <c r="E226" s="481"/>
    </row>
    <row r="227" spans="3:5" ht="12.75">
      <c r="C227" s="481"/>
      <c r="D227" s="481"/>
      <c r="E227" s="481"/>
    </row>
    <row r="228" spans="3:5" ht="12.75">
      <c r="C228" s="481"/>
      <c r="D228" s="481"/>
      <c r="E228" s="481"/>
    </row>
    <row r="229" spans="3:5" ht="12.75">
      <c r="C229" s="481"/>
      <c r="D229" s="481"/>
      <c r="E229" s="481"/>
    </row>
    <row r="230" spans="3:5" ht="12.75">
      <c r="C230" s="481"/>
      <c r="D230" s="481"/>
      <c r="E230" s="481"/>
    </row>
    <row r="231" spans="3:5" ht="12.75">
      <c r="C231" s="481"/>
      <c r="D231" s="481"/>
      <c r="E231" s="481"/>
    </row>
    <row r="232" spans="3:5" ht="12.75">
      <c r="C232" s="481"/>
      <c r="D232" s="481"/>
      <c r="E232" s="481"/>
    </row>
    <row r="233" spans="3:5" ht="12.75">
      <c r="C233" s="481"/>
      <c r="D233" s="481"/>
      <c r="E233" s="481"/>
    </row>
    <row r="234" spans="3:5" ht="12.75">
      <c r="C234" s="481"/>
      <c r="D234" s="481"/>
      <c r="E234" s="481"/>
    </row>
    <row r="235" spans="3:5" ht="12.75">
      <c r="C235" s="481"/>
      <c r="D235" s="481"/>
      <c r="E235" s="481"/>
    </row>
    <row r="236" spans="3:5" ht="12.75">
      <c r="C236" s="481"/>
      <c r="D236" s="481"/>
      <c r="E236" s="481"/>
    </row>
    <row r="237" spans="3:5" ht="12.75">
      <c r="C237" s="481"/>
      <c r="D237" s="481"/>
      <c r="E237" s="481"/>
    </row>
    <row r="238" spans="3:5" ht="12.75">
      <c r="C238" s="481"/>
      <c r="D238" s="481"/>
      <c r="E238" s="481"/>
    </row>
    <row r="239" spans="3:5" ht="12.75">
      <c r="C239" s="481"/>
      <c r="D239" s="481"/>
      <c r="E239" s="481"/>
    </row>
    <row r="240" spans="3:5" ht="12.75">
      <c r="C240" s="481"/>
      <c r="D240" s="481"/>
      <c r="E240" s="481"/>
    </row>
    <row r="241" spans="3:5" ht="12.75">
      <c r="C241" s="481"/>
      <c r="D241" s="481"/>
      <c r="E241" s="481"/>
    </row>
    <row r="242" spans="3:5" ht="12.75">
      <c r="C242" s="481"/>
      <c r="D242" s="481"/>
      <c r="E242" s="481"/>
    </row>
    <row r="243" spans="3:5" ht="12.75">
      <c r="C243" s="481"/>
      <c r="D243" s="481"/>
      <c r="E243" s="481"/>
    </row>
    <row r="244" spans="3:5" ht="12.75">
      <c r="C244" s="481"/>
      <c r="D244" s="481"/>
      <c r="E244" s="481"/>
    </row>
    <row r="245" spans="3:5" ht="12.75">
      <c r="C245" s="481"/>
      <c r="D245" s="481"/>
      <c r="E245" s="481"/>
    </row>
    <row r="246" spans="3:5" ht="12.75">
      <c r="C246" s="481"/>
      <c r="D246" s="481"/>
      <c r="E246" s="481"/>
    </row>
  </sheetData>
  <sheetProtection/>
  <mergeCells count="10">
    <mergeCell ref="A42:C42"/>
    <mergeCell ref="F42:K42"/>
    <mergeCell ref="A2:K2"/>
    <mergeCell ref="A3:K3"/>
    <mergeCell ref="A5:A6"/>
    <mergeCell ref="B5:B6"/>
    <mergeCell ref="C5:C6"/>
    <mergeCell ref="D5:E5"/>
    <mergeCell ref="F5:G5"/>
    <mergeCell ref="J5:K5"/>
  </mergeCells>
  <printOptions horizontalCentered="1"/>
  <pageMargins left="0.3937007874015748" right="0.2755905511811024" top="0.3937007874015748" bottom="0" header="0" footer="0"/>
  <pageSetup blackAndWhite="1"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K250"/>
  <sheetViews>
    <sheetView showGridLines="0" zoomScale="115" zoomScaleNormal="115" zoomScalePageLayoutView="0" workbookViewId="0" topLeftCell="A1">
      <selection activeCell="H8" sqref="H8"/>
    </sheetView>
  </sheetViews>
  <sheetFormatPr defaultColWidth="8.00390625" defaultRowHeight="12.75" outlineLevelRow="1" outlineLevelCol="1"/>
  <cols>
    <col min="1" max="1" width="4.625" style="483" customWidth="1"/>
    <col min="2" max="2" width="43.625" style="483" customWidth="1"/>
    <col min="3" max="4" width="11.375" style="483" customWidth="1"/>
    <col min="5" max="5" width="11.50390625" style="483" hidden="1" customWidth="1" outlineLevel="1"/>
    <col min="6" max="6" width="12.625" style="483" hidden="1" customWidth="1" collapsed="1"/>
    <col min="7" max="7" width="0" style="483" hidden="1" customWidth="1"/>
    <col min="8" max="8" width="13.125" style="483" customWidth="1"/>
    <col min="9" max="9" width="15.50390625" style="483" customWidth="1"/>
    <col min="10" max="10" width="8.00390625" style="483" customWidth="1"/>
    <col min="11" max="11" width="11.50390625" style="483" customWidth="1"/>
    <col min="12" max="12" width="8.00390625" style="483" customWidth="1"/>
    <col min="13" max="13" width="22.50390625" style="483" customWidth="1"/>
    <col min="14" max="16384" width="8.00390625" style="483" customWidth="1"/>
  </cols>
  <sheetData>
    <row r="1" ht="12.75">
      <c r="H1" s="484" t="s">
        <v>334</v>
      </c>
    </row>
    <row r="2" spans="1:8" ht="33.75" customHeight="1">
      <c r="A2" s="942" t="s">
        <v>335</v>
      </c>
      <c r="B2" s="942"/>
      <c r="C2" s="942"/>
      <c r="D2" s="942"/>
      <c r="E2" s="942"/>
      <c r="F2" s="942"/>
      <c r="G2" s="942"/>
      <c r="H2" s="942"/>
    </row>
    <row r="3" spans="1:8" ht="15" customHeight="1">
      <c r="A3" s="943" t="str">
        <f>'24'!A3:K3</f>
        <v>ОАО "Электротехнический комплекс"</v>
      </c>
      <c r="B3" s="943"/>
      <c r="C3" s="943"/>
      <c r="D3" s="943"/>
      <c r="E3" s="943"/>
      <c r="F3" s="943"/>
      <c r="G3" s="943"/>
      <c r="H3" s="943"/>
    </row>
    <row r="4" spans="1:8" ht="15" customHeight="1" thickBot="1">
      <c r="A4" s="485"/>
      <c r="B4" s="485"/>
      <c r="C4" s="485"/>
      <c r="D4" s="485"/>
      <c r="E4" s="485"/>
      <c r="F4" s="485"/>
      <c r="G4" s="485"/>
      <c r="H4" s="485"/>
    </row>
    <row r="5" spans="1:8" ht="25.5" customHeight="1">
      <c r="A5" s="944" t="s">
        <v>89</v>
      </c>
      <c r="B5" s="946" t="s">
        <v>241</v>
      </c>
      <c r="C5" s="948" t="s">
        <v>311</v>
      </c>
      <c r="D5" s="950" t="str">
        <f>'24'!D5:E5</f>
        <v>Отчетный период
2013 год</v>
      </c>
      <c r="E5" s="952" t="str">
        <f>'24'!F5</f>
        <v>Базовый период
2013 год</v>
      </c>
      <c r="F5" s="486"/>
      <c r="G5" s="487"/>
      <c r="H5" s="954" t="str">
        <f>'24'!J5</f>
        <v>Период регулирования
2015 год</v>
      </c>
    </row>
    <row r="6" spans="1:8" ht="12.75">
      <c r="A6" s="945"/>
      <c r="B6" s="947"/>
      <c r="C6" s="949"/>
      <c r="D6" s="951"/>
      <c r="E6" s="953"/>
      <c r="F6" s="488"/>
      <c r="G6" s="488"/>
      <c r="H6" s="955"/>
    </row>
    <row r="7" spans="1:8" ht="13.5" thickBot="1">
      <c r="A7" s="489">
        <v>1</v>
      </c>
      <c r="B7" s="490">
        <v>2</v>
      </c>
      <c r="C7" s="491">
        <f>+B7+1</f>
        <v>3</v>
      </c>
      <c r="D7" s="489">
        <f>+B7+1</f>
        <v>3</v>
      </c>
      <c r="E7" s="492">
        <f>+C7+1</f>
        <v>4</v>
      </c>
      <c r="F7" s="493"/>
      <c r="G7" s="493"/>
      <c r="H7" s="494">
        <v>5</v>
      </c>
    </row>
    <row r="8" spans="1:10" ht="29.25" customHeight="1">
      <c r="A8" s="495" t="s">
        <v>70</v>
      </c>
      <c r="B8" s="496" t="s">
        <v>336</v>
      </c>
      <c r="C8" s="497" t="s">
        <v>330</v>
      </c>
      <c r="D8" s="498">
        <f>D31/4!E24</f>
        <v>1264.8622710288519</v>
      </c>
      <c r="E8" s="499">
        <f>E31/E46</f>
        <v>1355.2805624267673</v>
      </c>
      <c r="F8" s="500"/>
      <c r="G8" s="500"/>
      <c r="H8" s="501">
        <f>1475.81*1.063</f>
        <v>1568.7860299999998</v>
      </c>
      <c r="J8" s="502"/>
    </row>
    <row r="9" spans="1:11" ht="18" customHeight="1" hidden="1" outlineLevel="1">
      <c r="A9" s="503" t="s">
        <v>316</v>
      </c>
      <c r="B9" s="504" t="s">
        <v>337</v>
      </c>
      <c r="C9" s="505"/>
      <c r="D9" s="506"/>
      <c r="E9" s="507"/>
      <c r="F9" s="500"/>
      <c r="G9" s="500"/>
      <c r="H9" s="508"/>
      <c r="K9" s="509"/>
    </row>
    <row r="10" spans="1:11" ht="18" customHeight="1" hidden="1" outlineLevel="1">
      <c r="A10" s="503" t="s">
        <v>338</v>
      </c>
      <c r="B10" s="504" t="s">
        <v>72</v>
      </c>
      <c r="C10" s="505"/>
      <c r="D10" s="506"/>
      <c r="E10" s="507"/>
      <c r="F10" s="500"/>
      <c r="G10" s="500"/>
      <c r="H10" s="508"/>
      <c r="K10" s="509"/>
    </row>
    <row r="11" spans="1:11" ht="18" customHeight="1" hidden="1" outlineLevel="1">
      <c r="A11" s="503" t="s">
        <v>339</v>
      </c>
      <c r="B11" s="504" t="s">
        <v>74</v>
      </c>
      <c r="C11" s="505"/>
      <c r="D11" s="506"/>
      <c r="E11" s="507"/>
      <c r="F11" s="500"/>
      <c r="G11" s="500"/>
      <c r="H11" s="508"/>
      <c r="K11" s="509"/>
    </row>
    <row r="12" spans="1:11" ht="18" customHeight="1" hidden="1" outlineLevel="1">
      <c r="A12" s="503" t="s">
        <v>317</v>
      </c>
      <c r="B12" s="504" t="s">
        <v>340</v>
      </c>
      <c r="C12" s="505"/>
      <c r="D12" s="506"/>
      <c r="E12" s="507"/>
      <c r="F12" s="500"/>
      <c r="G12" s="500"/>
      <c r="H12" s="508"/>
      <c r="K12" s="509"/>
    </row>
    <row r="13" spans="1:11" ht="27" customHeight="1" collapsed="1">
      <c r="A13" s="503" t="s">
        <v>341</v>
      </c>
      <c r="B13" s="504" t="s">
        <v>342</v>
      </c>
      <c r="C13" s="505" t="s">
        <v>343</v>
      </c>
      <c r="D13" s="506">
        <f>D25+4!E24</f>
        <v>419.92240000000004</v>
      </c>
      <c r="E13" s="507">
        <f>E25+E46</f>
        <v>410.751</v>
      </c>
      <c r="F13" s="500"/>
      <c r="G13" s="500"/>
      <c r="H13" s="508">
        <f>4!O15</f>
        <v>422.70529999999997</v>
      </c>
      <c r="K13" s="509"/>
    </row>
    <row r="14" spans="1:11" ht="15" hidden="1" outlineLevel="1">
      <c r="A14" s="503" t="s">
        <v>248</v>
      </c>
      <c r="B14" s="504" t="s">
        <v>16</v>
      </c>
      <c r="C14" s="510"/>
      <c r="D14" s="506"/>
      <c r="E14" s="507"/>
      <c r="F14" s="500"/>
      <c r="G14" s="500"/>
      <c r="H14" s="508"/>
      <c r="K14" s="511"/>
    </row>
    <row r="15" spans="1:11" ht="15" hidden="1" outlineLevel="1">
      <c r="A15" s="503" t="s">
        <v>250</v>
      </c>
      <c r="B15" s="504" t="s">
        <v>318</v>
      </c>
      <c r="C15" s="510"/>
      <c r="D15" s="506">
        <f>G15</f>
        <v>0</v>
      </c>
      <c r="E15" s="507">
        <f>H15</f>
        <v>422.70529999999997</v>
      </c>
      <c r="F15" s="500"/>
      <c r="G15" s="500"/>
      <c r="H15" s="508">
        <f>H17</f>
        <v>422.70529999999997</v>
      </c>
      <c r="J15" s="484"/>
      <c r="K15" s="509"/>
    </row>
    <row r="16" spans="1:11" ht="15" hidden="1" outlineLevel="1">
      <c r="A16" s="503"/>
      <c r="B16" s="512" t="s">
        <v>319</v>
      </c>
      <c r="C16" s="510"/>
      <c r="D16" s="506"/>
      <c r="E16" s="507"/>
      <c r="F16" s="500"/>
      <c r="G16" s="500"/>
      <c r="H16" s="508"/>
      <c r="J16" s="484"/>
      <c r="K16" s="509"/>
    </row>
    <row r="17" spans="1:11" ht="15" hidden="1" outlineLevel="1">
      <c r="A17" s="503"/>
      <c r="B17" s="512" t="s">
        <v>320</v>
      </c>
      <c r="C17" s="510"/>
      <c r="D17" s="506">
        <f>G17</f>
        <v>0</v>
      </c>
      <c r="E17" s="507">
        <f>H17</f>
        <v>422.70529999999997</v>
      </c>
      <c r="F17" s="500"/>
      <c r="G17" s="500"/>
      <c r="H17" s="508">
        <f>H13</f>
        <v>422.70529999999997</v>
      </c>
      <c r="J17" s="484"/>
      <c r="K17" s="509"/>
    </row>
    <row r="18" spans="1:11" ht="15" hidden="1" outlineLevel="1">
      <c r="A18" s="503" t="s">
        <v>252</v>
      </c>
      <c r="B18" s="504" t="s">
        <v>19</v>
      </c>
      <c r="C18" s="510"/>
      <c r="D18" s="506"/>
      <c r="E18" s="507"/>
      <c r="F18" s="500"/>
      <c r="G18" s="500"/>
      <c r="H18" s="508"/>
      <c r="K18" s="509"/>
    </row>
    <row r="19" spans="1:8" ht="12.75" collapsed="1">
      <c r="A19" s="503" t="s">
        <v>77</v>
      </c>
      <c r="B19" s="504" t="s">
        <v>344</v>
      </c>
      <c r="C19" s="510" t="s">
        <v>324</v>
      </c>
      <c r="D19" s="513">
        <f>4!E25</f>
        <v>0.016392076250278623</v>
      </c>
      <c r="E19" s="514">
        <f>4!J25</f>
        <v>0.01878849858491688</v>
      </c>
      <c r="F19" s="500"/>
      <c r="G19" s="500"/>
      <c r="H19" s="515">
        <f>4!O25</f>
        <v>0.01872344633483422</v>
      </c>
    </row>
    <row r="20" spans="1:8" ht="12.75" hidden="1" outlineLevel="1">
      <c r="A20" s="503" t="s">
        <v>210</v>
      </c>
      <c r="B20" s="504" t="s">
        <v>16</v>
      </c>
      <c r="C20" s="510"/>
      <c r="D20" s="506"/>
      <c r="E20" s="507"/>
      <c r="F20" s="500"/>
      <c r="G20" s="500"/>
      <c r="H20" s="508"/>
    </row>
    <row r="21" spans="1:8" ht="12.75" hidden="1" outlineLevel="1">
      <c r="A21" s="503" t="s">
        <v>212</v>
      </c>
      <c r="B21" s="504" t="s">
        <v>318</v>
      </c>
      <c r="C21" s="510"/>
      <c r="D21" s="506">
        <f>G21</f>
        <v>0</v>
      </c>
      <c r="E21" s="507" t="e">
        <f>H21</f>
        <v>#REF!</v>
      </c>
      <c r="F21" s="500"/>
      <c r="G21" s="500"/>
      <c r="H21" s="508" t="e">
        <f>H23</f>
        <v>#REF!</v>
      </c>
    </row>
    <row r="22" spans="1:8" ht="12.75" hidden="1" outlineLevel="1">
      <c r="A22" s="503"/>
      <c r="B22" s="512" t="s">
        <v>319</v>
      </c>
      <c r="C22" s="510"/>
      <c r="D22" s="506"/>
      <c r="E22" s="507"/>
      <c r="F22" s="500"/>
      <c r="G22" s="500"/>
      <c r="H22" s="508"/>
    </row>
    <row r="23" spans="1:8" ht="12.75" hidden="1" outlineLevel="1">
      <c r="A23" s="503"/>
      <c r="B23" s="512" t="s">
        <v>320</v>
      </c>
      <c r="C23" s="510"/>
      <c r="D23" s="506">
        <f>G23</f>
        <v>0</v>
      </c>
      <c r="E23" s="507" t="e">
        <f>H23</f>
        <v>#REF!</v>
      </c>
      <c r="F23" s="500"/>
      <c r="G23" s="500"/>
      <c r="H23" s="508" t="e">
        <f>#REF!</f>
        <v>#REF!</v>
      </c>
    </row>
    <row r="24" spans="1:8" ht="12.75" hidden="1" outlineLevel="1">
      <c r="A24" s="503" t="s">
        <v>345</v>
      </c>
      <c r="B24" s="504" t="s">
        <v>19</v>
      </c>
      <c r="C24" s="510"/>
      <c r="D24" s="506">
        <f>G24</f>
        <v>0</v>
      </c>
      <c r="E24" s="507" t="e">
        <f>H24</f>
        <v>#REF!</v>
      </c>
      <c r="F24" s="500"/>
      <c r="G24" s="500"/>
      <c r="H24" s="508" t="e">
        <f>#REF!</f>
        <v>#REF!</v>
      </c>
    </row>
    <row r="25" spans="1:8" ht="12.75" collapsed="1">
      <c r="A25" s="503" t="s">
        <v>79</v>
      </c>
      <c r="B25" s="504" t="s">
        <v>346</v>
      </c>
      <c r="C25" s="510" t="s">
        <v>343</v>
      </c>
      <c r="D25" s="506">
        <f>4!E27+4!E26</f>
        <v>413.03900000000004</v>
      </c>
      <c r="E25" s="507">
        <v>403.07</v>
      </c>
      <c r="F25" s="500"/>
      <c r="G25" s="500"/>
      <c r="H25" s="508">
        <f>4!O27+4!O26</f>
        <v>414.7898</v>
      </c>
    </row>
    <row r="26" spans="1:8" ht="12.75" hidden="1" outlineLevel="1">
      <c r="A26" s="503" t="s">
        <v>167</v>
      </c>
      <c r="B26" s="504" t="s">
        <v>16</v>
      </c>
      <c r="C26" s="510"/>
      <c r="D26" s="506"/>
      <c r="E26" s="507"/>
      <c r="F26" s="500"/>
      <c r="G26" s="500"/>
      <c r="H26" s="508"/>
    </row>
    <row r="27" spans="1:8" ht="12.75" hidden="1" outlineLevel="1">
      <c r="A27" s="503" t="s">
        <v>169</v>
      </c>
      <c r="B27" s="504" t="s">
        <v>318</v>
      </c>
      <c r="C27" s="510"/>
      <c r="D27" s="506">
        <f>G27</f>
        <v>0</v>
      </c>
      <c r="E27" s="507">
        <f>H27</f>
        <v>81.41</v>
      </c>
      <c r="F27" s="500"/>
      <c r="G27" s="500"/>
      <c r="H27" s="508">
        <f>H29</f>
        <v>81.41</v>
      </c>
    </row>
    <row r="28" spans="1:8" ht="12.75" hidden="1" outlineLevel="1">
      <c r="A28" s="503"/>
      <c r="B28" s="512" t="s">
        <v>319</v>
      </c>
      <c r="C28" s="510"/>
      <c r="D28" s="506"/>
      <c r="E28" s="507"/>
      <c r="F28" s="500"/>
      <c r="G28" s="500"/>
      <c r="H28" s="508"/>
    </row>
    <row r="29" spans="1:8" ht="12.75" hidden="1" outlineLevel="1">
      <c r="A29" s="503"/>
      <c r="B29" s="512" t="s">
        <v>320</v>
      </c>
      <c r="C29" s="510"/>
      <c r="D29" s="506">
        <f>G29</f>
        <v>0</v>
      </c>
      <c r="E29" s="507">
        <f>H29</f>
        <v>81.41</v>
      </c>
      <c r="F29" s="500"/>
      <c r="G29" s="500"/>
      <c r="H29" s="508">
        <f>6!F33</f>
        <v>81.41</v>
      </c>
    </row>
    <row r="30" spans="1:8" ht="12.75" hidden="1" outlineLevel="1">
      <c r="A30" s="503" t="s">
        <v>171</v>
      </c>
      <c r="B30" s="504" t="s">
        <v>19</v>
      </c>
      <c r="C30" s="510"/>
      <c r="D30" s="506"/>
      <c r="E30" s="507"/>
      <c r="F30" s="500"/>
      <c r="G30" s="500"/>
      <c r="H30" s="508" t="e">
        <f>#REF!</f>
        <v>#REF!</v>
      </c>
    </row>
    <row r="31" spans="1:8" ht="15" customHeight="1" collapsed="1">
      <c r="A31" s="503" t="s">
        <v>81</v>
      </c>
      <c r="B31" s="504" t="s">
        <v>347</v>
      </c>
      <c r="C31" s="510" t="s">
        <v>88</v>
      </c>
      <c r="D31" s="506">
        <f>'2012 факт ЭЭ'!D25</f>
        <v>8706.552956399999</v>
      </c>
      <c r="E31" s="507">
        <v>10409.91</v>
      </c>
      <c r="F31" s="500">
        <f>SUM(F32:F36)</f>
        <v>0</v>
      </c>
      <c r="G31" s="500"/>
      <c r="H31" s="508">
        <f>H8*4!O24</f>
        <v>12416.157034434997</v>
      </c>
    </row>
    <row r="32" spans="1:8" ht="12.75" hidden="1" outlineLevel="1">
      <c r="A32" s="503" t="s">
        <v>97</v>
      </c>
      <c r="B32" s="504" t="s">
        <v>16</v>
      </c>
      <c r="C32" s="510"/>
      <c r="D32" s="506"/>
      <c r="E32" s="507"/>
      <c r="F32" s="500">
        <v>0</v>
      </c>
      <c r="G32" s="500">
        <f>+F32-F38</f>
        <v>0</v>
      </c>
      <c r="H32" s="508"/>
    </row>
    <row r="33" spans="1:8" ht="12.75" hidden="1" outlineLevel="1">
      <c r="A33" s="503" t="s">
        <v>99</v>
      </c>
      <c r="B33" s="504" t="s">
        <v>318</v>
      </c>
      <c r="C33" s="510"/>
      <c r="D33" s="506"/>
      <c r="E33" s="507"/>
      <c r="F33" s="500"/>
      <c r="G33" s="500"/>
      <c r="H33" s="508"/>
    </row>
    <row r="34" spans="1:8" ht="12.75" hidden="1" outlineLevel="1">
      <c r="A34" s="503"/>
      <c r="B34" s="512" t="s">
        <v>319</v>
      </c>
      <c r="C34" s="510"/>
      <c r="D34" s="506"/>
      <c r="E34" s="507"/>
      <c r="F34" s="500">
        <v>0</v>
      </c>
      <c r="G34" s="500">
        <f>+G32*E16/(E16+E17)</f>
        <v>0</v>
      </c>
      <c r="H34" s="508"/>
    </row>
    <row r="35" spans="1:8" ht="12.75" hidden="1" outlineLevel="1">
      <c r="A35" s="503"/>
      <c r="B35" s="512" t="s">
        <v>320</v>
      </c>
      <c r="C35" s="510"/>
      <c r="D35" s="506"/>
      <c r="E35" s="507"/>
      <c r="F35" s="500">
        <v>0</v>
      </c>
      <c r="G35" s="500">
        <f>+G32-G34</f>
        <v>0</v>
      </c>
      <c r="H35" s="508"/>
    </row>
    <row r="36" spans="1:8" ht="12.75" hidden="1" outlineLevel="1">
      <c r="A36" s="503" t="s">
        <v>328</v>
      </c>
      <c r="B36" s="504" t="s">
        <v>19</v>
      </c>
      <c r="C36" s="510"/>
      <c r="D36" s="506"/>
      <c r="E36" s="507"/>
      <c r="F36" s="500">
        <v>0</v>
      </c>
      <c r="G36" s="500"/>
      <c r="H36" s="508"/>
    </row>
    <row r="37" spans="1:8" ht="27.75" customHeight="1" collapsed="1" thickBot="1">
      <c r="A37" s="516">
        <v>6</v>
      </c>
      <c r="B37" s="517" t="s">
        <v>348</v>
      </c>
      <c r="C37" s="518" t="s">
        <v>349</v>
      </c>
      <c r="D37" s="519">
        <f>'2012 факт ЭЭ'!C30</f>
        <v>25.825915451027093</v>
      </c>
      <c r="E37" s="520">
        <f>E31/E13</f>
        <v>25.343602328417948</v>
      </c>
      <c r="F37" s="521">
        <f>SUM(F38:F42)</f>
        <v>0</v>
      </c>
      <c r="G37" s="521"/>
      <c r="H37" s="522">
        <f>H31/6!C33</f>
        <v>29.94516321411292</v>
      </c>
    </row>
    <row r="38" spans="1:8" ht="18" customHeight="1" hidden="1" outlineLevel="1">
      <c r="A38" s="523" t="s">
        <v>331</v>
      </c>
      <c r="B38" s="524" t="s">
        <v>16</v>
      </c>
      <c r="C38" s="525"/>
      <c r="D38" s="525"/>
      <c r="E38" s="526"/>
      <c r="F38" s="527">
        <f>+E38*E26</f>
        <v>0</v>
      </c>
      <c r="H38" s="526"/>
    </row>
    <row r="39" spans="1:8" ht="18" customHeight="1" hidden="1" outlineLevel="1">
      <c r="A39" s="528" t="s">
        <v>332</v>
      </c>
      <c r="B39" s="529" t="s">
        <v>318</v>
      </c>
      <c r="C39" s="530"/>
      <c r="D39" s="530"/>
      <c r="E39" s="531"/>
      <c r="F39" s="532"/>
      <c r="H39" s="531"/>
    </row>
    <row r="40" spans="1:8" ht="18" customHeight="1" hidden="1" outlineLevel="1">
      <c r="A40" s="528"/>
      <c r="B40" s="463" t="s">
        <v>319</v>
      </c>
      <c r="C40" s="530"/>
      <c r="D40" s="530"/>
      <c r="E40" s="533"/>
      <c r="F40" s="527">
        <f>+E40*E28</f>
        <v>0</v>
      </c>
      <c r="H40" s="533"/>
    </row>
    <row r="41" spans="1:8" ht="18" customHeight="1" hidden="1" outlineLevel="1">
      <c r="A41" s="528"/>
      <c r="B41" s="463" t="s">
        <v>320</v>
      </c>
      <c r="C41" s="530"/>
      <c r="D41" s="530"/>
      <c r="E41" s="533"/>
      <c r="F41" s="527">
        <f>+E41*E29</f>
        <v>0</v>
      </c>
      <c r="H41" s="533"/>
    </row>
    <row r="42" spans="1:8" ht="18" customHeight="1" hidden="1" outlineLevel="1">
      <c r="A42" s="528" t="s">
        <v>333</v>
      </c>
      <c r="B42" s="529" t="s">
        <v>19</v>
      </c>
      <c r="C42" s="530"/>
      <c r="D42" s="530"/>
      <c r="E42" s="533"/>
      <c r="F42" s="527">
        <f>+E42*E30</f>
        <v>0</v>
      </c>
      <c r="H42" s="533"/>
    </row>
    <row r="43" spans="3:4" ht="19.5" customHeight="1" collapsed="1">
      <c r="C43" s="534"/>
      <c r="D43" s="534"/>
    </row>
    <row r="44" spans="3:6" ht="12.75">
      <c r="C44" s="534"/>
      <c r="D44" s="534"/>
      <c r="F44" s="535"/>
    </row>
    <row r="45" spans="1:8" ht="15.75" customHeight="1">
      <c r="A45" s="939" t="str">
        <f>'24'!A42:C42</f>
        <v>Начальник ПЭО</v>
      </c>
      <c r="B45" s="939"/>
      <c r="C45" s="939"/>
      <c r="D45" s="536"/>
      <c r="E45" s="940" t="str">
        <f>'24'!F42</f>
        <v>М.С. Мироненко</v>
      </c>
      <c r="F45" s="941"/>
      <c r="G45" s="941"/>
      <c r="H45" s="941"/>
    </row>
    <row r="46" spans="3:5" ht="12.75">
      <c r="C46" s="534"/>
      <c r="D46" s="534"/>
      <c r="E46" s="483">
        <v>7.681</v>
      </c>
    </row>
    <row r="47" spans="3:4" ht="12.75">
      <c r="C47" s="534"/>
      <c r="D47" s="537"/>
    </row>
    <row r="48" spans="3:4" ht="12.75">
      <c r="C48" s="534"/>
      <c r="D48" s="534"/>
    </row>
    <row r="49" spans="3:4" ht="12.75">
      <c r="C49" s="534"/>
      <c r="D49" s="534"/>
    </row>
    <row r="50" spans="3:4" ht="12.75">
      <c r="C50" s="534"/>
      <c r="D50" s="534"/>
    </row>
    <row r="51" spans="3:4" ht="12.75">
      <c r="C51" s="534"/>
      <c r="D51" s="534"/>
    </row>
    <row r="52" spans="3:4" ht="12.75">
      <c r="C52" s="534"/>
      <c r="D52" s="534"/>
    </row>
    <row r="53" spans="3:4" ht="12.75">
      <c r="C53" s="534"/>
      <c r="D53" s="534"/>
    </row>
    <row r="54" spans="3:4" ht="12.75">
      <c r="C54" s="534"/>
      <c r="D54" s="534"/>
    </row>
    <row r="55" spans="3:4" ht="12.75">
      <c r="C55" s="534"/>
      <c r="D55" s="534"/>
    </row>
    <row r="56" spans="3:4" ht="12.75">
      <c r="C56" s="534"/>
      <c r="D56" s="534"/>
    </row>
    <row r="57" spans="3:4" ht="12.75">
      <c r="C57" s="534"/>
      <c r="D57" s="534"/>
    </row>
    <row r="58" spans="3:4" ht="12.75">
      <c r="C58" s="534"/>
      <c r="D58" s="534"/>
    </row>
    <row r="59" spans="3:4" ht="12.75">
      <c r="C59" s="534"/>
      <c r="D59" s="534"/>
    </row>
    <row r="60" spans="3:4" ht="12.75">
      <c r="C60" s="534"/>
      <c r="D60" s="534"/>
    </row>
    <row r="61" spans="3:4" ht="12.75">
      <c r="C61" s="534"/>
      <c r="D61" s="534"/>
    </row>
    <row r="62" spans="3:4" ht="12.75">
      <c r="C62" s="534"/>
      <c r="D62" s="534"/>
    </row>
    <row r="63" spans="3:4" ht="12.75">
      <c r="C63" s="534"/>
      <c r="D63" s="534"/>
    </row>
    <row r="64" spans="3:4" ht="12.75">
      <c r="C64" s="534"/>
      <c r="D64" s="534"/>
    </row>
    <row r="65" spans="3:4" ht="12.75">
      <c r="C65" s="534"/>
      <c r="D65" s="534"/>
    </row>
    <row r="66" spans="3:4" ht="12.75">
      <c r="C66" s="534"/>
      <c r="D66" s="534"/>
    </row>
    <row r="67" spans="3:4" ht="12.75">
      <c r="C67" s="534"/>
      <c r="D67" s="534"/>
    </row>
    <row r="68" spans="3:4" ht="12.75">
      <c r="C68" s="534"/>
      <c r="D68" s="534"/>
    </row>
    <row r="69" spans="3:4" ht="12.75">
      <c r="C69" s="534"/>
      <c r="D69" s="534"/>
    </row>
    <row r="70" spans="3:4" ht="12.75">
      <c r="C70" s="534"/>
      <c r="D70" s="534"/>
    </row>
    <row r="71" spans="3:4" ht="12.75">
      <c r="C71" s="534"/>
      <c r="D71" s="534"/>
    </row>
    <row r="72" spans="3:4" ht="12.75">
      <c r="C72" s="534"/>
      <c r="D72" s="534"/>
    </row>
    <row r="73" spans="3:4" ht="12.75">
      <c r="C73" s="534"/>
      <c r="D73" s="534"/>
    </row>
    <row r="74" spans="3:4" ht="12.75">
      <c r="C74" s="534"/>
      <c r="D74" s="534"/>
    </row>
    <row r="75" spans="3:4" ht="12.75">
      <c r="C75" s="534"/>
      <c r="D75" s="534"/>
    </row>
    <row r="76" spans="3:4" ht="12.75">
      <c r="C76" s="534"/>
      <c r="D76" s="534"/>
    </row>
    <row r="77" spans="3:4" ht="12.75">
      <c r="C77" s="534"/>
      <c r="D77" s="534"/>
    </row>
    <row r="78" spans="3:4" ht="12.75">
      <c r="C78" s="534"/>
      <c r="D78" s="534"/>
    </row>
    <row r="79" spans="3:4" ht="12.75">
      <c r="C79" s="534"/>
      <c r="D79" s="534"/>
    </row>
    <row r="80" spans="3:4" ht="12.75">
      <c r="C80" s="534"/>
      <c r="D80" s="534"/>
    </row>
    <row r="81" spans="3:4" ht="12.75">
      <c r="C81" s="534"/>
      <c r="D81" s="534"/>
    </row>
    <row r="82" spans="3:4" ht="12.75">
      <c r="C82" s="534"/>
      <c r="D82" s="534"/>
    </row>
    <row r="83" spans="3:4" ht="12.75">
      <c r="C83" s="534"/>
      <c r="D83" s="534"/>
    </row>
    <row r="84" spans="3:4" ht="12.75">
      <c r="C84" s="534"/>
      <c r="D84" s="534"/>
    </row>
    <row r="85" spans="3:4" ht="12.75">
      <c r="C85" s="534"/>
      <c r="D85" s="534"/>
    </row>
    <row r="86" spans="3:4" ht="12.75">
      <c r="C86" s="534"/>
      <c r="D86" s="534"/>
    </row>
    <row r="87" spans="3:4" ht="12.75">
      <c r="C87" s="534"/>
      <c r="D87" s="534"/>
    </row>
    <row r="88" spans="3:4" ht="12.75">
      <c r="C88" s="534"/>
      <c r="D88" s="534"/>
    </row>
    <row r="89" spans="3:4" ht="12.75">
      <c r="C89" s="534"/>
      <c r="D89" s="534"/>
    </row>
    <row r="90" spans="3:4" ht="12.75">
      <c r="C90" s="534"/>
      <c r="D90" s="534"/>
    </row>
    <row r="91" spans="3:4" ht="12.75">
      <c r="C91" s="534"/>
      <c r="D91" s="534"/>
    </row>
    <row r="92" spans="3:4" ht="12.75">
      <c r="C92" s="534"/>
      <c r="D92" s="534"/>
    </row>
    <row r="93" spans="3:4" ht="12.75">
      <c r="C93" s="534"/>
      <c r="D93" s="534"/>
    </row>
    <row r="94" spans="3:4" ht="12.75">
      <c r="C94" s="534"/>
      <c r="D94" s="534"/>
    </row>
    <row r="95" spans="3:4" ht="12.75">
      <c r="C95" s="534"/>
      <c r="D95" s="534"/>
    </row>
    <row r="96" spans="3:4" ht="12.75">
      <c r="C96" s="534"/>
      <c r="D96" s="534"/>
    </row>
    <row r="97" spans="3:4" ht="12.75">
      <c r="C97" s="534"/>
      <c r="D97" s="534"/>
    </row>
    <row r="98" spans="3:4" ht="12.75">
      <c r="C98" s="534"/>
      <c r="D98" s="534"/>
    </row>
    <row r="99" spans="3:4" ht="12.75">
      <c r="C99" s="534"/>
      <c r="D99" s="534"/>
    </row>
    <row r="100" spans="3:4" ht="12.75">
      <c r="C100" s="534"/>
      <c r="D100" s="534"/>
    </row>
    <row r="101" spans="3:4" ht="12.75">
      <c r="C101" s="534"/>
      <c r="D101" s="534"/>
    </row>
    <row r="102" spans="3:4" ht="12.75">
      <c r="C102" s="534"/>
      <c r="D102" s="534"/>
    </row>
    <row r="103" spans="3:4" ht="12.75">
      <c r="C103" s="534"/>
      <c r="D103" s="534"/>
    </row>
    <row r="104" spans="3:4" ht="12.75">
      <c r="C104" s="534"/>
      <c r="D104" s="534"/>
    </row>
    <row r="105" spans="3:4" ht="12.75">
      <c r="C105" s="534"/>
      <c r="D105" s="534"/>
    </row>
    <row r="106" spans="3:4" ht="12.75">
      <c r="C106" s="534"/>
      <c r="D106" s="534"/>
    </row>
    <row r="107" spans="3:4" ht="12.75">
      <c r="C107" s="534"/>
      <c r="D107" s="534"/>
    </row>
    <row r="108" spans="3:4" ht="12.75">
      <c r="C108" s="534"/>
      <c r="D108" s="534"/>
    </row>
    <row r="109" spans="3:4" ht="12.75">
      <c r="C109" s="534"/>
      <c r="D109" s="534"/>
    </row>
    <row r="110" spans="3:4" ht="12.75">
      <c r="C110" s="534"/>
      <c r="D110" s="534"/>
    </row>
    <row r="111" spans="3:4" ht="12.75">
      <c r="C111" s="534"/>
      <c r="D111" s="534"/>
    </row>
    <row r="112" spans="3:4" ht="12.75">
      <c r="C112" s="534"/>
      <c r="D112" s="534"/>
    </row>
    <row r="113" spans="3:4" ht="12.75">
      <c r="C113" s="534"/>
      <c r="D113" s="534"/>
    </row>
    <row r="114" spans="3:4" ht="12.75">
      <c r="C114" s="534"/>
      <c r="D114" s="534"/>
    </row>
    <row r="115" spans="3:4" ht="12.75">
      <c r="C115" s="534"/>
      <c r="D115" s="534"/>
    </row>
    <row r="116" spans="3:4" ht="12.75">
      <c r="C116" s="534"/>
      <c r="D116" s="534"/>
    </row>
    <row r="117" spans="3:4" ht="12.75">
      <c r="C117" s="534"/>
      <c r="D117" s="534"/>
    </row>
    <row r="118" spans="3:4" ht="12.75">
      <c r="C118" s="534"/>
      <c r="D118" s="534"/>
    </row>
    <row r="119" spans="3:4" ht="12.75">
      <c r="C119" s="534"/>
      <c r="D119" s="534"/>
    </row>
    <row r="120" spans="3:4" ht="12.75">
      <c r="C120" s="534"/>
      <c r="D120" s="534"/>
    </row>
    <row r="121" spans="3:4" ht="12.75">
      <c r="C121" s="534"/>
      <c r="D121" s="534"/>
    </row>
    <row r="122" spans="3:4" ht="12.75">
      <c r="C122" s="534"/>
      <c r="D122" s="534"/>
    </row>
    <row r="123" spans="3:4" ht="12.75">
      <c r="C123" s="534"/>
      <c r="D123" s="534"/>
    </row>
    <row r="124" spans="3:4" ht="12.75">
      <c r="C124" s="534"/>
      <c r="D124" s="534"/>
    </row>
    <row r="125" spans="3:4" ht="12.75">
      <c r="C125" s="534"/>
      <c r="D125" s="534"/>
    </row>
    <row r="126" spans="3:4" ht="12.75">
      <c r="C126" s="534"/>
      <c r="D126" s="534"/>
    </row>
    <row r="127" spans="3:4" ht="12.75">
      <c r="C127" s="534"/>
      <c r="D127" s="534"/>
    </row>
    <row r="128" spans="3:4" ht="12.75">
      <c r="C128" s="534"/>
      <c r="D128" s="534"/>
    </row>
    <row r="129" spans="3:4" ht="12.75">
      <c r="C129" s="534"/>
      <c r="D129" s="534"/>
    </row>
    <row r="130" spans="3:4" ht="12.75">
      <c r="C130" s="534"/>
      <c r="D130" s="534"/>
    </row>
    <row r="131" spans="3:4" ht="12.75">
      <c r="C131" s="534"/>
      <c r="D131" s="534"/>
    </row>
    <row r="132" spans="3:4" ht="12.75">
      <c r="C132" s="534"/>
      <c r="D132" s="534"/>
    </row>
    <row r="133" spans="3:4" ht="12.75">
      <c r="C133" s="534"/>
      <c r="D133" s="534"/>
    </row>
    <row r="134" spans="3:4" ht="12.75">
      <c r="C134" s="534"/>
      <c r="D134" s="534"/>
    </row>
    <row r="135" spans="3:4" ht="12.75">
      <c r="C135" s="534"/>
      <c r="D135" s="534"/>
    </row>
    <row r="136" spans="3:4" ht="12.75">
      <c r="C136" s="534"/>
      <c r="D136" s="534"/>
    </row>
    <row r="137" spans="3:4" ht="12.75">
      <c r="C137" s="534"/>
      <c r="D137" s="534"/>
    </row>
    <row r="138" spans="3:4" ht="12.75">
      <c r="C138" s="534"/>
      <c r="D138" s="534"/>
    </row>
    <row r="139" spans="3:4" ht="12.75">
      <c r="C139" s="534"/>
      <c r="D139" s="534"/>
    </row>
    <row r="140" spans="3:4" ht="12.75">
      <c r="C140" s="534"/>
      <c r="D140" s="534"/>
    </row>
    <row r="141" spans="3:4" ht="12.75">
      <c r="C141" s="534"/>
      <c r="D141" s="534"/>
    </row>
    <row r="142" spans="3:4" ht="12.75">
      <c r="C142" s="534"/>
      <c r="D142" s="534"/>
    </row>
    <row r="143" spans="3:4" ht="12.75">
      <c r="C143" s="534"/>
      <c r="D143" s="534"/>
    </row>
    <row r="144" spans="3:4" ht="12.75">
      <c r="C144" s="534"/>
      <c r="D144" s="534"/>
    </row>
    <row r="145" spans="3:4" ht="12.75">
      <c r="C145" s="534"/>
      <c r="D145" s="534"/>
    </row>
    <row r="146" spans="3:4" ht="12.75">
      <c r="C146" s="534"/>
      <c r="D146" s="534"/>
    </row>
    <row r="147" spans="3:4" ht="12.75">
      <c r="C147" s="534"/>
      <c r="D147" s="534"/>
    </row>
    <row r="148" spans="3:4" ht="12.75">
      <c r="C148" s="534"/>
      <c r="D148" s="534"/>
    </row>
    <row r="149" spans="3:4" ht="12.75">
      <c r="C149" s="534"/>
      <c r="D149" s="534"/>
    </row>
    <row r="150" spans="3:4" ht="12.75">
      <c r="C150" s="534"/>
      <c r="D150" s="534"/>
    </row>
    <row r="151" spans="3:4" ht="12.75">
      <c r="C151" s="534"/>
      <c r="D151" s="534"/>
    </row>
    <row r="152" spans="3:4" ht="12.75">
      <c r="C152" s="534"/>
      <c r="D152" s="534"/>
    </row>
    <row r="153" spans="3:4" ht="12.75">
      <c r="C153" s="534"/>
      <c r="D153" s="534"/>
    </row>
    <row r="154" spans="3:4" ht="12.75">
      <c r="C154" s="534"/>
      <c r="D154" s="534"/>
    </row>
    <row r="155" spans="3:4" ht="12.75">
      <c r="C155" s="534"/>
      <c r="D155" s="534"/>
    </row>
    <row r="156" spans="3:4" ht="12.75">
      <c r="C156" s="534"/>
      <c r="D156" s="534"/>
    </row>
    <row r="157" spans="3:4" ht="12.75">
      <c r="C157" s="534"/>
      <c r="D157" s="534"/>
    </row>
    <row r="158" spans="3:4" ht="12.75">
      <c r="C158" s="534"/>
      <c r="D158" s="534"/>
    </row>
    <row r="159" spans="3:4" ht="12.75">
      <c r="C159" s="534"/>
      <c r="D159" s="534"/>
    </row>
    <row r="160" spans="3:4" ht="12.75">
      <c r="C160" s="534"/>
      <c r="D160" s="534"/>
    </row>
    <row r="161" spans="3:4" ht="12.75">
      <c r="C161" s="534"/>
      <c r="D161" s="534"/>
    </row>
    <row r="162" spans="3:4" ht="12.75">
      <c r="C162" s="534"/>
      <c r="D162" s="534"/>
    </row>
    <row r="163" spans="3:4" ht="12.75">
      <c r="C163" s="534"/>
      <c r="D163" s="534"/>
    </row>
    <row r="164" spans="3:4" ht="12.75">
      <c r="C164" s="534"/>
      <c r="D164" s="534"/>
    </row>
    <row r="165" spans="3:4" ht="12.75">
      <c r="C165" s="534"/>
      <c r="D165" s="534"/>
    </row>
    <row r="166" spans="3:4" ht="12.75">
      <c r="C166" s="534"/>
      <c r="D166" s="534"/>
    </row>
    <row r="167" spans="3:4" ht="12.75">
      <c r="C167" s="534"/>
      <c r="D167" s="534"/>
    </row>
    <row r="168" spans="3:4" ht="12.75">
      <c r="C168" s="534"/>
      <c r="D168" s="534"/>
    </row>
    <row r="169" spans="3:4" ht="12.75">
      <c r="C169" s="534"/>
      <c r="D169" s="534"/>
    </row>
    <row r="170" spans="3:4" ht="12.75">
      <c r="C170" s="534"/>
      <c r="D170" s="534"/>
    </row>
    <row r="171" spans="3:4" ht="12.75">
      <c r="C171" s="534"/>
      <c r="D171" s="534"/>
    </row>
    <row r="172" spans="3:4" ht="12.75">
      <c r="C172" s="534"/>
      <c r="D172" s="534"/>
    </row>
    <row r="173" spans="3:4" ht="12.75">
      <c r="C173" s="534"/>
      <c r="D173" s="534"/>
    </row>
    <row r="174" spans="3:4" ht="12.75">
      <c r="C174" s="534"/>
      <c r="D174" s="534"/>
    </row>
    <row r="175" spans="3:4" ht="12.75">
      <c r="C175" s="534"/>
      <c r="D175" s="534"/>
    </row>
    <row r="176" spans="3:4" ht="12.75">
      <c r="C176" s="534"/>
      <c r="D176" s="534"/>
    </row>
    <row r="177" spans="3:4" ht="12.75">
      <c r="C177" s="534"/>
      <c r="D177" s="534"/>
    </row>
    <row r="178" spans="3:4" ht="12.75">
      <c r="C178" s="534"/>
      <c r="D178" s="534"/>
    </row>
    <row r="179" spans="3:4" ht="12.75">
      <c r="C179" s="534"/>
      <c r="D179" s="534"/>
    </row>
    <row r="180" spans="3:4" ht="12.75">
      <c r="C180" s="534"/>
      <c r="D180" s="534"/>
    </row>
    <row r="181" spans="3:4" ht="12.75">
      <c r="C181" s="534"/>
      <c r="D181" s="534"/>
    </row>
    <row r="182" spans="3:4" ht="12.75">
      <c r="C182" s="534"/>
      <c r="D182" s="534"/>
    </row>
    <row r="183" spans="3:4" ht="12.75">
      <c r="C183" s="534"/>
      <c r="D183" s="534"/>
    </row>
    <row r="184" spans="3:4" ht="12.75">
      <c r="C184" s="534"/>
      <c r="D184" s="534"/>
    </row>
    <row r="185" spans="3:4" ht="12.75">
      <c r="C185" s="534"/>
      <c r="D185" s="534"/>
    </row>
    <row r="186" spans="3:4" ht="12.75">
      <c r="C186" s="534"/>
      <c r="D186" s="534"/>
    </row>
    <row r="187" spans="3:4" ht="12.75">
      <c r="C187" s="534"/>
      <c r="D187" s="534"/>
    </row>
    <row r="188" spans="3:4" ht="12.75">
      <c r="C188" s="534"/>
      <c r="D188" s="534"/>
    </row>
    <row r="189" spans="3:4" ht="12.75">
      <c r="C189" s="534"/>
      <c r="D189" s="534"/>
    </row>
    <row r="190" spans="3:4" ht="12.75">
      <c r="C190" s="534"/>
      <c r="D190" s="534"/>
    </row>
    <row r="191" spans="3:4" ht="12.75">
      <c r="C191" s="534"/>
      <c r="D191" s="534"/>
    </row>
    <row r="192" spans="3:4" ht="12.75">
      <c r="C192" s="534"/>
      <c r="D192" s="534"/>
    </row>
    <row r="193" spans="3:4" ht="12.75">
      <c r="C193" s="534"/>
      <c r="D193" s="534"/>
    </row>
    <row r="194" spans="3:4" ht="12.75">
      <c r="C194" s="534"/>
      <c r="D194" s="534"/>
    </row>
    <row r="195" spans="3:4" ht="12.75">
      <c r="C195" s="534"/>
      <c r="D195" s="534"/>
    </row>
    <row r="196" spans="3:4" ht="12.75">
      <c r="C196" s="534"/>
      <c r="D196" s="534"/>
    </row>
    <row r="197" spans="3:4" ht="12.75">
      <c r="C197" s="534"/>
      <c r="D197" s="534"/>
    </row>
    <row r="198" spans="3:4" ht="12.75">
      <c r="C198" s="534"/>
      <c r="D198" s="534"/>
    </row>
    <row r="199" spans="3:4" ht="12.75">
      <c r="C199" s="534"/>
      <c r="D199" s="534"/>
    </row>
    <row r="200" spans="3:4" ht="12.75">
      <c r="C200" s="534"/>
      <c r="D200" s="534"/>
    </row>
    <row r="201" spans="3:4" ht="12.75">
      <c r="C201" s="534"/>
      <c r="D201" s="534"/>
    </row>
    <row r="202" spans="3:4" ht="12.75">
      <c r="C202" s="534"/>
      <c r="D202" s="534"/>
    </row>
    <row r="203" spans="3:4" ht="12.75">
      <c r="C203" s="534"/>
      <c r="D203" s="534"/>
    </row>
    <row r="204" spans="3:4" ht="12.75">
      <c r="C204" s="534"/>
      <c r="D204" s="534"/>
    </row>
    <row r="205" spans="3:4" ht="12.75">
      <c r="C205" s="534"/>
      <c r="D205" s="534"/>
    </row>
    <row r="206" spans="3:4" ht="12.75">
      <c r="C206" s="534"/>
      <c r="D206" s="534"/>
    </row>
    <row r="207" spans="3:4" ht="12.75">
      <c r="C207" s="534"/>
      <c r="D207" s="534"/>
    </row>
    <row r="208" spans="3:4" ht="12.75">
      <c r="C208" s="534"/>
      <c r="D208" s="534"/>
    </row>
    <row r="209" spans="3:4" ht="12.75">
      <c r="C209" s="534"/>
      <c r="D209" s="534"/>
    </row>
    <row r="210" spans="3:4" ht="12.75">
      <c r="C210" s="534"/>
      <c r="D210" s="534"/>
    </row>
    <row r="211" spans="3:4" ht="12.75">
      <c r="C211" s="534"/>
      <c r="D211" s="534"/>
    </row>
    <row r="212" spans="3:4" ht="12.75">
      <c r="C212" s="534"/>
      <c r="D212" s="534"/>
    </row>
    <row r="213" spans="3:4" ht="12.75">
      <c r="C213" s="534"/>
      <c r="D213" s="534"/>
    </row>
    <row r="214" spans="3:4" ht="12.75">
      <c r="C214" s="534"/>
      <c r="D214" s="534"/>
    </row>
    <row r="215" spans="3:4" ht="12.75">
      <c r="C215" s="534"/>
      <c r="D215" s="534"/>
    </row>
    <row r="216" spans="3:4" ht="12.75">
      <c r="C216" s="534"/>
      <c r="D216" s="534"/>
    </row>
    <row r="217" spans="3:4" ht="12.75">
      <c r="C217" s="534"/>
      <c r="D217" s="534"/>
    </row>
    <row r="218" spans="3:4" ht="12.75">
      <c r="C218" s="534"/>
      <c r="D218" s="534"/>
    </row>
    <row r="219" spans="3:4" ht="12.75">
      <c r="C219" s="534"/>
      <c r="D219" s="534"/>
    </row>
    <row r="220" spans="3:4" ht="12.75">
      <c r="C220" s="534"/>
      <c r="D220" s="534"/>
    </row>
    <row r="221" spans="3:4" ht="12.75">
      <c r="C221" s="534"/>
      <c r="D221" s="534"/>
    </row>
    <row r="222" spans="3:4" ht="12.75">
      <c r="C222" s="534"/>
      <c r="D222" s="534"/>
    </row>
    <row r="223" spans="3:4" ht="12.75">
      <c r="C223" s="534"/>
      <c r="D223" s="534"/>
    </row>
    <row r="224" spans="3:4" ht="12.75">
      <c r="C224" s="534"/>
      <c r="D224" s="534"/>
    </row>
    <row r="225" spans="3:4" ht="12.75">
      <c r="C225" s="534"/>
      <c r="D225" s="534"/>
    </row>
    <row r="226" spans="3:4" ht="12.75">
      <c r="C226" s="534"/>
      <c r="D226" s="534"/>
    </row>
    <row r="227" spans="3:4" ht="12.75">
      <c r="C227" s="534"/>
      <c r="D227" s="534"/>
    </row>
    <row r="228" spans="3:4" ht="12.75">
      <c r="C228" s="534"/>
      <c r="D228" s="534"/>
    </row>
    <row r="229" spans="3:4" ht="12.75">
      <c r="C229" s="534"/>
      <c r="D229" s="534"/>
    </row>
    <row r="230" spans="3:4" ht="12.75">
      <c r="C230" s="534"/>
      <c r="D230" s="534"/>
    </row>
    <row r="231" spans="3:4" ht="12.75">
      <c r="C231" s="534"/>
      <c r="D231" s="534"/>
    </row>
    <row r="232" spans="3:4" ht="12.75">
      <c r="C232" s="534"/>
      <c r="D232" s="534"/>
    </row>
    <row r="233" spans="3:4" ht="12.75">
      <c r="C233" s="534"/>
      <c r="D233" s="534"/>
    </row>
    <row r="234" spans="3:4" ht="12.75">
      <c r="C234" s="534"/>
      <c r="D234" s="534"/>
    </row>
    <row r="235" spans="3:4" ht="12.75">
      <c r="C235" s="534"/>
      <c r="D235" s="534"/>
    </row>
    <row r="236" spans="3:4" ht="12.75">
      <c r="C236" s="534"/>
      <c r="D236" s="534"/>
    </row>
    <row r="237" spans="3:4" ht="12.75">
      <c r="C237" s="534"/>
      <c r="D237" s="534"/>
    </row>
    <row r="238" spans="3:4" ht="12.75">
      <c r="C238" s="534"/>
      <c r="D238" s="534"/>
    </row>
    <row r="239" spans="3:4" ht="12.75">
      <c r="C239" s="534"/>
      <c r="D239" s="534"/>
    </row>
    <row r="240" spans="3:4" ht="12.75">
      <c r="C240" s="534"/>
      <c r="D240" s="534"/>
    </row>
    <row r="241" spans="3:4" ht="12.75">
      <c r="C241" s="534"/>
      <c r="D241" s="534"/>
    </row>
    <row r="242" spans="3:4" ht="12.75">
      <c r="C242" s="534"/>
      <c r="D242" s="534"/>
    </row>
    <row r="243" spans="3:4" ht="12.75">
      <c r="C243" s="534"/>
      <c r="D243" s="534"/>
    </row>
    <row r="244" spans="3:4" ht="12.75">
      <c r="C244" s="534"/>
      <c r="D244" s="534"/>
    </row>
    <row r="245" spans="3:4" ht="12.75">
      <c r="C245" s="534"/>
      <c r="D245" s="534"/>
    </row>
    <row r="246" spans="3:4" ht="12.75">
      <c r="C246" s="534"/>
      <c r="D246" s="534"/>
    </row>
    <row r="247" spans="3:4" ht="12.75">
      <c r="C247" s="534"/>
      <c r="D247" s="534"/>
    </row>
    <row r="248" spans="3:4" ht="12.75">
      <c r="C248" s="534"/>
      <c r="D248" s="534"/>
    </row>
    <row r="249" spans="3:4" ht="12.75">
      <c r="C249" s="534"/>
      <c r="D249" s="534"/>
    </row>
    <row r="250" spans="3:4" ht="12.75">
      <c r="C250" s="534"/>
      <c r="D250" s="534"/>
    </row>
  </sheetData>
  <sheetProtection/>
  <mergeCells count="10">
    <mergeCell ref="A45:C45"/>
    <mergeCell ref="E45:H45"/>
    <mergeCell ref="A2:H2"/>
    <mergeCell ref="A3:H3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2755905511811024" top="0.75" bottom="0" header="0" footer="0"/>
  <pageSetup blackAndWhite="1"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32"/>
  <sheetViews>
    <sheetView showGridLines="0" view="pageBreakPreview" zoomScaleSheetLayoutView="100" zoomScalePageLayoutView="0" workbookViewId="0" topLeftCell="A7">
      <selection activeCell="Y27" sqref="Y27"/>
    </sheetView>
  </sheetViews>
  <sheetFormatPr defaultColWidth="8.00390625" defaultRowHeight="12.75" outlineLevelCol="1"/>
  <cols>
    <col min="1" max="1" width="7.375" style="344" customWidth="1"/>
    <col min="2" max="2" width="33.375" style="344" customWidth="1"/>
    <col min="3" max="3" width="10.625" style="368" customWidth="1"/>
    <col min="4" max="4" width="6.00390625" style="344" bestFit="1" customWidth="1"/>
    <col min="5" max="5" width="5.50390625" style="344" bestFit="1" customWidth="1"/>
    <col min="6" max="6" width="4.375" style="344" bestFit="1" customWidth="1"/>
    <col min="7" max="7" width="5.125" style="344" bestFit="1" customWidth="1"/>
    <col min="8" max="8" width="3.50390625" style="344" bestFit="1" customWidth="1"/>
    <col min="9" max="13" width="6.50390625" style="344" hidden="1" customWidth="1" outlineLevel="1"/>
    <col min="14" max="14" width="6.00390625" style="344" bestFit="1" customWidth="1" collapsed="1"/>
    <col min="15" max="15" width="5.50390625" style="344" bestFit="1" customWidth="1"/>
    <col min="16" max="16" width="4.375" style="344" bestFit="1" customWidth="1"/>
    <col min="17" max="17" width="5.125" style="344" bestFit="1" customWidth="1"/>
    <col min="18" max="18" width="3.50390625" style="344" bestFit="1" customWidth="1"/>
    <col min="19" max="19" width="6.00390625" style="344" hidden="1" customWidth="1" outlineLevel="1"/>
    <col min="20" max="23" width="0" style="344" hidden="1" customWidth="1" outlineLevel="1"/>
    <col min="24" max="24" width="8.00390625" style="344" customWidth="1" collapsed="1"/>
    <col min="25" max="16384" width="8.00390625" style="344" customWidth="1"/>
  </cols>
  <sheetData>
    <row r="1" spans="15:18" ht="12.75">
      <c r="O1" s="983" t="s">
        <v>350</v>
      </c>
      <c r="P1" s="983"/>
      <c r="Q1" s="983"/>
      <c r="R1" s="983"/>
    </row>
    <row r="2" spans="1:18" ht="33" customHeight="1">
      <c r="A2" s="984" t="s">
        <v>351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</row>
    <row r="3" spans="1:18" ht="16.5">
      <c r="A3" s="538"/>
      <c r="B3" s="986" t="str">
        <f>'24'!A3</f>
        <v>ОАО "Электротехнический комплекс"</v>
      </c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538"/>
    </row>
    <row r="4" spans="1:18" ht="16.5">
      <c r="A4" s="538"/>
      <c r="B4" s="986" t="s">
        <v>437</v>
      </c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538"/>
    </row>
    <row r="5" spans="1:18" ht="17.25" thickBot="1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8"/>
    </row>
    <row r="6" spans="1:23" s="343" customFormat="1" ht="10.5" customHeight="1">
      <c r="A6" s="987" t="s">
        <v>62</v>
      </c>
      <c r="B6" s="990" t="s">
        <v>63</v>
      </c>
      <c r="C6" s="540"/>
      <c r="D6" s="987" t="s">
        <v>176</v>
      </c>
      <c r="E6" s="993"/>
      <c r="F6" s="993"/>
      <c r="G6" s="993"/>
      <c r="H6" s="993"/>
      <c r="I6" s="994" t="s">
        <v>352</v>
      </c>
      <c r="J6" s="995"/>
      <c r="K6" s="995"/>
      <c r="L6" s="995"/>
      <c r="M6" s="996"/>
      <c r="N6" s="990" t="s">
        <v>283</v>
      </c>
      <c r="O6" s="993"/>
      <c r="P6" s="993"/>
      <c r="Q6" s="993"/>
      <c r="R6" s="997"/>
      <c r="S6" s="976" t="s">
        <v>68</v>
      </c>
      <c r="T6" s="976"/>
      <c r="U6" s="976"/>
      <c r="V6" s="976"/>
      <c r="W6" s="977"/>
    </row>
    <row r="7" spans="1:23" ht="10.5" customHeight="1">
      <c r="A7" s="988"/>
      <c r="B7" s="991"/>
      <c r="C7" s="541" t="s">
        <v>353</v>
      </c>
      <c r="D7" s="989"/>
      <c r="E7" s="978"/>
      <c r="F7" s="978"/>
      <c r="G7" s="978"/>
      <c r="H7" s="978"/>
      <c r="I7" s="980" t="s">
        <v>76</v>
      </c>
      <c r="J7" s="980"/>
      <c r="K7" s="980"/>
      <c r="L7" s="980"/>
      <c r="M7" s="980"/>
      <c r="N7" s="992"/>
      <c r="O7" s="978"/>
      <c r="P7" s="978"/>
      <c r="Q7" s="978"/>
      <c r="R7" s="998"/>
      <c r="S7" s="978"/>
      <c r="T7" s="978"/>
      <c r="U7" s="978"/>
      <c r="V7" s="978"/>
      <c r="W7" s="979"/>
    </row>
    <row r="8" spans="1:23" ht="11.25" customHeight="1">
      <c r="A8" s="989"/>
      <c r="B8" s="992"/>
      <c r="C8" s="542"/>
      <c r="D8" s="543" t="s">
        <v>68</v>
      </c>
      <c r="E8" s="544" t="s">
        <v>16</v>
      </c>
      <c r="F8" s="544" t="s">
        <v>17</v>
      </c>
      <c r="G8" s="544" t="s">
        <v>18</v>
      </c>
      <c r="H8" s="544" t="s">
        <v>19</v>
      </c>
      <c r="I8" s="545" t="s">
        <v>68</v>
      </c>
      <c r="J8" s="545" t="s">
        <v>16</v>
      </c>
      <c r="K8" s="544" t="s">
        <v>17</v>
      </c>
      <c r="L8" s="544" t="s">
        <v>18</v>
      </c>
      <c r="M8" s="545" t="s">
        <v>19</v>
      </c>
      <c r="N8" s="544" t="s">
        <v>68</v>
      </c>
      <c r="O8" s="544" t="s">
        <v>16</v>
      </c>
      <c r="P8" s="544" t="s">
        <v>17</v>
      </c>
      <c r="Q8" s="544" t="s">
        <v>18</v>
      </c>
      <c r="R8" s="546" t="s">
        <v>19</v>
      </c>
      <c r="S8" s="547" t="s">
        <v>68</v>
      </c>
      <c r="T8" s="544" t="s">
        <v>16</v>
      </c>
      <c r="U8" s="544" t="s">
        <v>17</v>
      </c>
      <c r="V8" s="544" t="s">
        <v>18</v>
      </c>
      <c r="W8" s="544" t="s">
        <v>19</v>
      </c>
    </row>
    <row r="9" spans="1:23" ht="10.5" customHeight="1" thickBot="1">
      <c r="A9" s="548">
        <v>1</v>
      </c>
      <c r="B9" s="549">
        <f>+A9+1</f>
        <v>2</v>
      </c>
      <c r="C9" s="550">
        <v>3</v>
      </c>
      <c r="D9" s="548">
        <f aca="true" t="shared" si="0" ref="D9:M9">+C9+1</f>
        <v>4</v>
      </c>
      <c r="E9" s="551">
        <f t="shared" si="0"/>
        <v>5</v>
      </c>
      <c r="F9" s="551">
        <f t="shared" si="0"/>
        <v>6</v>
      </c>
      <c r="G9" s="551">
        <f t="shared" si="0"/>
        <v>7</v>
      </c>
      <c r="H9" s="551">
        <f t="shared" si="0"/>
        <v>8</v>
      </c>
      <c r="I9" s="551">
        <f t="shared" si="0"/>
        <v>9</v>
      </c>
      <c r="J9" s="551">
        <f t="shared" si="0"/>
        <v>10</v>
      </c>
      <c r="K9" s="551">
        <f t="shared" si="0"/>
        <v>11</v>
      </c>
      <c r="L9" s="551">
        <f t="shared" si="0"/>
        <v>12</v>
      </c>
      <c r="M9" s="551">
        <f t="shared" si="0"/>
        <v>13</v>
      </c>
      <c r="N9" s="551">
        <f>H9+1</f>
        <v>9</v>
      </c>
      <c r="O9" s="551">
        <f aca="true" t="shared" si="1" ref="O9:W9">+N9+1</f>
        <v>10</v>
      </c>
      <c r="P9" s="551">
        <f t="shared" si="1"/>
        <v>11</v>
      </c>
      <c r="Q9" s="551">
        <f t="shared" si="1"/>
        <v>12</v>
      </c>
      <c r="R9" s="552">
        <f t="shared" si="1"/>
        <v>13</v>
      </c>
      <c r="S9" s="553">
        <f t="shared" si="1"/>
        <v>14</v>
      </c>
      <c r="T9" s="554">
        <f t="shared" si="1"/>
        <v>15</v>
      </c>
      <c r="U9" s="554">
        <f t="shared" si="1"/>
        <v>16</v>
      </c>
      <c r="V9" s="554">
        <f t="shared" si="1"/>
        <v>17</v>
      </c>
      <c r="W9" s="554">
        <f t="shared" si="1"/>
        <v>18</v>
      </c>
    </row>
    <row r="10" spans="1:23" ht="23.25" customHeight="1">
      <c r="A10" s="555" t="s">
        <v>70</v>
      </c>
      <c r="B10" s="556" t="s">
        <v>354</v>
      </c>
      <c r="C10" s="557" t="s">
        <v>343</v>
      </c>
      <c r="D10" s="558">
        <f>6!C33</f>
        <v>414.6298</v>
      </c>
      <c r="E10" s="559">
        <f>6!D32</f>
        <v>328.2698</v>
      </c>
      <c r="F10" s="559"/>
      <c r="G10" s="559">
        <f>6!F32</f>
        <v>81.41</v>
      </c>
      <c r="H10" s="559">
        <f>6!G33</f>
        <v>4.95</v>
      </c>
      <c r="I10" s="559">
        <f>D10</f>
        <v>414.6298</v>
      </c>
      <c r="J10" s="559"/>
      <c r="K10" s="559"/>
      <c r="L10" s="559">
        <f aca="true" t="shared" si="2" ref="L10:N11">G10</f>
        <v>81.41</v>
      </c>
      <c r="M10" s="559">
        <f t="shared" si="2"/>
        <v>4.95</v>
      </c>
      <c r="N10" s="559">
        <f t="shared" si="2"/>
        <v>414.6298</v>
      </c>
      <c r="O10" s="559">
        <f>E10</f>
        <v>328.2698</v>
      </c>
      <c r="P10" s="559"/>
      <c r="Q10" s="559">
        <f>L10</f>
        <v>81.41</v>
      </c>
      <c r="R10" s="560">
        <f>M10</f>
        <v>4.95</v>
      </c>
      <c r="S10" s="561"/>
      <c r="T10" s="562"/>
      <c r="U10" s="562"/>
      <c r="V10" s="562"/>
      <c r="W10" s="562"/>
    </row>
    <row r="11" spans="1:23" ht="12.75">
      <c r="A11" s="563" t="s">
        <v>75</v>
      </c>
      <c r="B11" s="564" t="s">
        <v>355</v>
      </c>
      <c r="C11" s="565" t="s">
        <v>356</v>
      </c>
      <c r="D11" s="566">
        <f>6!H33</f>
        <v>58.688</v>
      </c>
      <c r="E11" s="567">
        <f>6!I32</f>
        <v>46.217</v>
      </c>
      <c r="F11" s="567"/>
      <c r="G11" s="567">
        <f>6!K33</f>
        <v>11.713000000000001</v>
      </c>
      <c r="H11" s="567">
        <f>6!L33</f>
        <v>0.758</v>
      </c>
      <c r="I11" s="567">
        <f>D11</f>
        <v>58.688</v>
      </c>
      <c r="J11" s="567"/>
      <c r="K11" s="567"/>
      <c r="L11" s="567">
        <f t="shared" si="2"/>
        <v>11.713000000000001</v>
      </c>
      <c r="M11" s="567">
        <f t="shared" si="2"/>
        <v>0.758</v>
      </c>
      <c r="N11" s="567">
        <f t="shared" si="2"/>
        <v>58.688</v>
      </c>
      <c r="O11" s="567">
        <f>E11</f>
        <v>46.217</v>
      </c>
      <c r="P11" s="567"/>
      <c r="Q11" s="567">
        <f>L11</f>
        <v>11.713000000000001</v>
      </c>
      <c r="R11" s="568">
        <f>M11</f>
        <v>0.758</v>
      </c>
      <c r="S11" s="561"/>
      <c r="T11" s="562"/>
      <c r="U11" s="562"/>
      <c r="V11" s="562"/>
      <c r="W11" s="562"/>
    </row>
    <row r="12" spans="1:23" ht="24" customHeight="1">
      <c r="A12" s="563" t="s">
        <v>77</v>
      </c>
      <c r="B12" s="564" t="s">
        <v>357</v>
      </c>
      <c r="C12" s="569" t="s">
        <v>330</v>
      </c>
      <c r="D12" s="956"/>
      <c r="E12" s="957"/>
      <c r="F12" s="957"/>
      <c r="G12" s="957"/>
      <c r="H12" s="958"/>
      <c r="I12" s="570"/>
      <c r="J12" s="570"/>
      <c r="K12" s="570"/>
      <c r="L12" s="570"/>
      <c r="M12" s="570"/>
      <c r="N12" s="959"/>
      <c r="O12" s="957"/>
      <c r="P12" s="957"/>
      <c r="Q12" s="957"/>
      <c r="R12" s="960"/>
      <c r="S12" s="561"/>
      <c r="T12" s="562"/>
      <c r="U12" s="562"/>
      <c r="V12" s="562"/>
      <c r="W12" s="562"/>
    </row>
    <row r="13" spans="1:23" ht="13.5" customHeight="1">
      <c r="A13" s="563" t="s">
        <v>210</v>
      </c>
      <c r="B13" s="564" t="s">
        <v>358</v>
      </c>
      <c r="C13" s="569" t="s">
        <v>359</v>
      </c>
      <c r="D13" s="571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2"/>
      <c r="S13" s="561"/>
      <c r="T13" s="562"/>
      <c r="U13" s="562"/>
      <c r="V13" s="562"/>
      <c r="W13" s="562"/>
    </row>
    <row r="14" spans="1:23" ht="12.75">
      <c r="A14" s="563" t="s">
        <v>212</v>
      </c>
      <c r="B14" s="564" t="s">
        <v>360</v>
      </c>
      <c r="C14" s="569" t="s">
        <v>330</v>
      </c>
      <c r="D14" s="571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2"/>
      <c r="S14" s="561"/>
      <c r="T14" s="562"/>
      <c r="U14" s="562"/>
      <c r="V14" s="562"/>
      <c r="W14" s="562"/>
    </row>
    <row r="15" spans="1:23" ht="12.75">
      <c r="A15" s="563" t="s">
        <v>79</v>
      </c>
      <c r="B15" s="564" t="s">
        <v>361</v>
      </c>
      <c r="C15" s="569" t="s">
        <v>330</v>
      </c>
      <c r="D15" s="974">
        <f>D16</f>
        <v>339.229751959791</v>
      </c>
      <c r="E15" s="957"/>
      <c r="F15" s="957"/>
      <c r="G15" s="957"/>
      <c r="H15" s="958"/>
      <c r="I15" s="573"/>
      <c r="J15" s="573"/>
      <c r="K15" s="573"/>
      <c r="L15" s="573"/>
      <c r="M15" s="573"/>
      <c r="N15" s="975">
        <f>N16</f>
        <v>339.229751959791</v>
      </c>
      <c r="O15" s="957"/>
      <c r="P15" s="957"/>
      <c r="Q15" s="957"/>
      <c r="R15" s="960"/>
      <c r="S15" s="561"/>
      <c r="T15" s="562"/>
      <c r="U15" s="562"/>
      <c r="V15" s="562"/>
      <c r="W15" s="562"/>
    </row>
    <row r="16" spans="1:23" ht="26.25">
      <c r="A16" s="563" t="s">
        <v>167</v>
      </c>
      <c r="B16" s="564" t="s">
        <v>362</v>
      </c>
      <c r="C16" s="569" t="s">
        <v>330</v>
      </c>
      <c r="D16" s="974">
        <f>D26/D10</f>
        <v>339.229751959791</v>
      </c>
      <c r="E16" s="981"/>
      <c r="F16" s="981"/>
      <c r="G16" s="981"/>
      <c r="H16" s="982"/>
      <c r="I16" s="570"/>
      <c r="J16" s="570"/>
      <c r="K16" s="570"/>
      <c r="L16" s="570"/>
      <c r="M16" s="570"/>
      <c r="N16" s="975">
        <f>D16</f>
        <v>339.229751959791</v>
      </c>
      <c r="O16" s="957"/>
      <c r="P16" s="957"/>
      <c r="Q16" s="957"/>
      <c r="R16" s="960"/>
      <c r="S16" s="561"/>
      <c r="T16" s="562"/>
      <c r="U16" s="562"/>
      <c r="V16" s="562"/>
      <c r="W16" s="562"/>
    </row>
    <row r="17" spans="1:23" ht="12.75">
      <c r="A17" s="563" t="s">
        <v>363</v>
      </c>
      <c r="B17" s="564" t="s">
        <v>364</v>
      </c>
      <c r="C17" s="569" t="s">
        <v>359</v>
      </c>
      <c r="D17" s="956">
        <f>'24'!J28</f>
        <v>199721.07331586487</v>
      </c>
      <c r="E17" s="957"/>
      <c r="F17" s="957"/>
      <c r="G17" s="957"/>
      <c r="H17" s="958"/>
      <c r="I17" s="959">
        <f>D17</f>
        <v>199721.07331586487</v>
      </c>
      <c r="J17" s="957"/>
      <c r="K17" s="957"/>
      <c r="L17" s="957"/>
      <c r="M17" s="958"/>
      <c r="N17" s="959">
        <f>I17</f>
        <v>199721.07331586487</v>
      </c>
      <c r="O17" s="957"/>
      <c r="P17" s="957"/>
      <c r="Q17" s="957"/>
      <c r="R17" s="960"/>
      <c r="S17" s="561"/>
      <c r="T17" s="562"/>
      <c r="U17" s="562"/>
      <c r="V17" s="562"/>
      <c r="W17" s="562"/>
    </row>
    <row r="18" spans="1:23" ht="12.75">
      <c r="A18" s="563" t="s">
        <v>365</v>
      </c>
      <c r="B18" s="564" t="s">
        <v>229</v>
      </c>
      <c r="C18" s="569" t="s">
        <v>330</v>
      </c>
      <c r="D18" s="956">
        <f>'25'!H37</f>
        <v>29.94516321411292</v>
      </c>
      <c r="E18" s="957"/>
      <c r="F18" s="957"/>
      <c r="G18" s="957"/>
      <c r="H18" s="958"/>
      <c r="I18" s="959">
        <f>D18</f>
        <v>29.94516321411292</v>
      </c>
      <c r="J18" s="957"/>
      <c r="K18" s="957"/>
      <c r="L18" s="957"/>
      <c r="M18" s="958"/>
      <c r="N18" s="959">
        <f>I18</f>
        <v>29.94516321411292</v>
      </c>
      <c r="O18" s="957"/>
      <c r="P18" s="957"/>
      <c r="Q18" s="957"/>
      <c r="R18" s="960"/>
      <c r="S18" s="561"/>
      <c r="T18" s="562"/>
      <c r="U18" s="562"/>
      <c r="V18" s="562"/>
      <c r="W18" s="562"/>
    </row>
    <row r="19" spans="1:23" ht="12.75">
      <c r="A19" s="563" t="s">
        <v>169</v>
      </c>
      <c r="B19" s="564" t="s">
        <v>366</v>
      </c>
      <c r="C19" s="569" t="s">
        <v>359</v>
      </c>
      <c r="D19" s="571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2"/>
      <c r="S19" s="561"/>
      <c r="T19" s="562"/>
      <c r="U19" s="562"/>
      <c r="V19" s="562"/>
      <c r="W19" s="562"/>
    </row>
    <row r="20" spans="1:23" ht="26.25">
      <c r="A20" s="563" t="s">
        <v>81</v>
      </c>
      <c r="B20" s="564" t="s">
        <v>367</v>
      </c>
      <c r="C20" s="569" t="s">
        <v>330</v>
      </c>
      <c r="D20" s="974">
        <f>D15</f>
        <v>339.229751959791</v>
      </c>
      <c r="E20" s="957"/>
      <c r="F20" s="957"/>
      <c r="G20" s="957"/>
      <c r="H20" s="958"/>
      <c r="I20" s="573"/>
      <c r="J20" s="573"/>
      <c r="K20" s="573"/>
      <c r="L20" s="573"/>
      <c r="M20" s="573"/>
      <c r="N20" s="975">
        <f>N15</f>
        <v>339.229751959791</v>
      </c>
      <c r="O20" s="957"/>
      <c r="P20" s="957"/>
      <c r="Q20" s="957"/>
      <c r="R20" s="960"/>
      <c r="S20" s="561"/>
      <c r="T20" s="562"/>
      <c r="U20" s="562"/>
      <c r="V20" s="562"/>
      <c r="W20" s="562"/>
    </row>
    <row r="21" spans="1:23" ht="26.25">
      <c r="A21" s="563" t="s">
        <v>97</v>
      </c>
      <c r="B21" s="564" t="s">
        <v>368</v>
      </c>
      <c r="C21" s="569" t="s">
        <v>369</v>
      </c>
      <c r="D21" s="956">
        <f>D17</f>
        <v>199721.07331586487</v>
      </c>
      <c r="E21" s="957"/>
      <c r="F21" s="957"/>
      <c r="G21" s="957"/>
      <c r="H21" s="958"/>
      <c r="I21" s="573"/>
      <c r="J21" s="573"/>
      <c r="K21" s="573"/>
      <c r="L21" s="573"/>
      <c r="M21" s="573"/>
      <c r="N21" s="959">
        <f>N17</f>
        <v>199721.07331586487</v>
      </c>
      <c r="O21" s="957"/>
      <c r="P21" s="957"/>
      <c r="Q21" s="957"/>
      <c r="R21" s="960"/>
      <c r="S21" s="561"/>
      <c r="T21" s="562"/>
      <c r="U21" s="562"/>
      <c r="V21" s="562"/>
      <c r="W21" s="562"/>
    </row>
    <row r="22" spans="1:23" ht="12.75">
      <c r="A22" s="563" t="s">
        <v>99</v>
      </c>
      <c r="B22" s="564" t="s">
        <v>370</v>
      </c>
      <c r="C22" s="569" t="s">
        <v>330</v>
      </c>
      <c r="D22" s="956">
        <f>D18</f>
        <v>29.94516321411292</v>
      </c>
      <c r="E22" s="957"/>
      <c r="F22" s="957"/>
      <c r="G22" s="957"/>
      <c r="H22" s="958"/>
      <c r="I22" s="573"/>
      <c r="J22" s="573"/>
      <c r="K22" s="573"/>
      <c r="L22" s="573"/>
      <c r="M22" s="573"/>
      <c r="N22" s="959">
        <f>N18</f>
        <v>29.94516321411292</v>
      </c>
      <c r="O22" s="957"/>
      <c r="P22" s="957"/>
      <c r="Q22" s="957"/>
      <c r="R22" s="960"/>
      <c r="S22" s="561"/>
      <c r="T22" s="562"/>
      <c r="U22" s="562"/>
      <c r="V22" s="562"/>
      <c r="W22" s="562"/>
    </row>
    <row r="23" spans="1:23" ht="12.75">
      <c r="A23" s="563" t="s">
        <v>101</v>
      </c>
      <c r="B23" s="564" t="s">
        <v>371</v>
      </c>
      <c r="C23" s="569" t="s">
        <v>88</v>
      </c>
      <c r="D23" s="956">
        <f>D24</f>
        <v>153070.92124357272</v>
      </c>
      <c r="E23" s="957"/>
      <c r="F23" s="957"/>
      <c r="G23" s="957"/>
      <c r="H23" s="958"/>
      <c r="I23" s="573"/>
      <c r="J23" s="573"/>
      <c r="K23" s="573"/>
      <c r="L23" s="573"/>
      <c r="M23" s="573"/>
      <c r="N23" s="959">
        <f>N24</f>
        <v>153070.92124357272</v>
      </c>
      <c r="O23" s="957"/>
      <c r="P23" s="957"/>
      <c r="Q23" s="957"/>
      <c r="R23" s="960"/>
      <c r="S23" s="561"/>
      <c r="T23" s="562"/>
      <c r="U23" s="562"/>
      <c r="V23" s="562"/>
      <c r="W23" s="562"/>
    </row>
    <row r="24" spans="1:23" ht="12.75">
      <c r="A24" s="563"/>
      <c r="B24" s="564" t="s">
        <v>352</v>
      </c>
      <c r="C24" s="569"/>
      <c r="D24" s="956">
        <f>D25+D26</f>
        <v>153070.92124357272</v>
      </c>
      <c r="E24" s="957"/>
      <c r="F24" s="957"/>
      <c r="G24" s="957"/>
      <c r="H24" s="958"/>
      <c r="I24" s="959">
        <f>D24</f>
        <v>153070.92124357272</v>
      </c>
      <c r="J24" s="957"/>
      <c r="K24" s="957"/>
      <c r="L24" s="957"/>
      <c r="M24" s="958"/>
      <c r="N24" s="959">
        <f>I24</f>
        <v>153070.92124357272</v>
      </c>
      <c r="O24" s="957"/>
      <c r="P24" s="957"/>
      <c r="Q24" s="957"/>
      <c r="R24" s="960"/>
      <c r="S24" s="561"/>
      <c r="T24" s="562"/>
      <c r="U24" s="562"/>
      <c r="V24" s="562"/>
      <c r="W24" s="562"/>
    </row>
    <row r="25" spans="1:23" ht="26.25">
      <c r="A25" s="563" t="s">
        <v>331</v>
      </c>
      <c r="B25" s="564" t="s">
        <v>372</v>
      </c>
      <c r="C25" s="569" t="s">
        <v>88</v>
      </c>
      <c r="D25" s="956">
        <f>D29</f>
        <v>12416.157034434997</v>
      </c>
      <c r="E25" s="957"/>
      <c r="F25" s="957"/>
      <c r="G25" s="957"/>
      <c r="H25" s="958"/>
      <c r="I25" s="959">
        <f>D25</f>
        <v>12416.157034434997</v>
      </c>
      <c r="J25" s="957"/>
      <c r="K25" s="957"/>
      <c r="L25" s="957"/>
      <c r="M25" s="958"/>
      <c r="N25" s="959">
        <f>N29</f>
        <v>12416.157034434997</v>
      </c>
      <c r="O25" s="957"/>
      <c r="P25" s="957"/>
      <c r="Q25" s="957"/>
      <c r="R25" s="960"/>
      <c r="S25" s="561"/>
      <c r="T25" s="562"/>
      <c r="U25" s="562"/>
      <c r="V25" s="562"/>
      <c r="W25" s="562"/>
    </row>
    <row r="26" spans="1:23" ht="12.75">
      <c r="A26" s="563" t="s">
        <v>332</v>
      </c>
      <c r="B26" s="564" t="s">
        <v>373</v>
      </c>
      <c r="C26" s="569" t="s">
        <v>88</v>
      </c>
      <c r="D26" s="956">
        <f>'24'!J22</f>
        <v>140654.76420913773</v>
      </c>
      <c r="E26" s="957"/>
      <c r="F26" s="957"/>
      <c r="G26" s="957"/>
      <c r="H26" s="958"/>
      <c r="I26" s="959">
        <f>D26</f>
        <v>140654.76420913773</v>
      </c>
      <c r="J26" s="957"/>
      <c r="K26" s="957"/>
      <c r="L26" s="957"/>
      <c r="M26" s="958"/>
      <c r="N26" s="959">
        <f>D26</f>
        <v>140654.76420913773</v>
      </c>
      <c r="O26" s="957"/>
      <c r="P26" s="957"/>
      <c r="Q26" s="957"/>
      <c r="R26" s="960"/>
      <c r="S26" s="561"/>
      <c r="T26" s="562"/>
      <c r="U26" s="562"/>
      <c r="V26" s="562"/>
      <c r="W26" s="562"/>
    </row>
    <row r="27" spans="1:23" ht="12.75" customHeight="1">
      <c r="A27" s="967" t="s">
        <v>374</v>
      </c>
      <c r="B27" s="968"/>
      <c r="C27" s="569"/>
      <c r="D27" s="969"/>
      <c r="E27" s="970"/>
      <c r="F27" s="970"/>
      <c r="G27" s="970"/>
      <c r="H27" s="971"/>
      <c r="I27" s="570"/>
      <c r="J27" s="570"/>
      <c r="K27" s="570"/>
      <c r="L27" s="570"/>
      <c r="M27" s="570"/>
      <c r="N27" s="972"/>
      <c r="O27" s="970"/>
      <c r="P27" s="970"/>
      <c r="Q27" s="970"/>
      <c r="R27" s="973"/>
      <c r="S27" s="561"/>
      <c r="T27" s="562"/>
      <c r="U27" s="562"/>
      <c r="V27" s="562"/>
      <c r="W27" s="562"/>
    </row>
    <row r="28" spans="1:23" ht="12.75">
      <c r="A28" s="563" t="s">
        <v>331</v>
      </c>
      <c r="B28" s="564" t="s">
        <v>375</v>
      </c>
      <c r="C28" s="569" t="s">
        <v>88</v>
      </c>
      <c r="D28" s="956">
        <f>D21*D11*12/1000</f>
        <v>140654.76420913773</v>
      </c>
      <c r="E28" s="957"/>
      <c r="F28" s="957"/>
      <c r="G28" s="957"/>
      <c r="H28" s="958"/>
      <c r="I28" s="570"/>
      <c r="J28" s="570"/>
      <c r="K28" s="570"/>
      <c r="L28" s="570"/>
      <c r="M28" s="570"/>
      <c r="N28" s="959">
        <f>D28</f>
        <v>140654.76420913773</v>
      </c>
      <c r="O28" s="957"/>
      <c r="P28" s="957"/>
      <c r="Q28" s="957"/>
      <c r="R28" s="960"/>
      <c r="S28" s="561"/>
      <c r="T28" s="562"/>
      <c r="U28" s="562"/>
      <c r="V28" s="562"/>
      <c r="W28" s="562"/>
    </row>
    <row r="29" spans="1:23" ht="14.25" customHeight="1" thickBot="1">
      <c r="A29" s="574" t="s">
        <v>332</v>
      </c>
      <c r="B29" s="575" t="s">
        <v>376</v>
      </c>
      <c r="C29" s="576" t="s">
        <v>88</v>
      </c>
      <c r="D29" s="961">
        <f>D22*D10</f>
        <v>12416.157034434997</v>
      </c>
      <c r="E29" s="962"/>
      <c r="F29" s="962"/>
      <c r="G29" s="962"/>
      <c r="H29" s="963"/>
      <c r="I29" s="577"/>
      <c r="J29" s="577"/>
      <c r="K29" s="577"/>
      <c r="L29" s="577"/>
      <c r="M29" s="577"/>
      <c r="N29" s="964">
        <f>D29</f>
        <v>12416.157034434997</v>
      </c>
      <c r="O29" s="962"/>
      <c r="P29" s="962"/>
      <c r="Q29" s="962"/>
      <c r="R29" s="965"/>
      <c r="S29" s="578"/>
      <c r="T29" s="396"/>
      <c r="U29" s="396"/>
      <c r="V29" s="396"/>
      <c r="W29" s="396"/>
    </row>
    <row r="30" spans="1:18" ht="18.75" customHeight="1">
      <c r="A30" s="579"/>
      <c r="B30" s="579"/>
      <c r="C30" s="580"/>
      <c r="D30" s="579"/>
      <c r="E30" s="579"/>
      <c r="F30" s="579"/>
      <c r="G30" s="579"/>
      <c r="H30" s="579"/>
      <c r="I30" s="581"/>
      <c r="J30" s="581"/>
      <c r="K30" s="581"/>
      <c r="L30" s="581"/>
      <c r="M30" s="581"/>
      <c r="N30" s="581"/>
      <c r="O30" s="581"/>
      <c r="P30" s="581"/>
      <c r="Q30" s="581"/>
      <c r="R30" s="581"/>
    </row>
    <row r="32" spans="1:18" s="582" customFormat="1" ht="18">
      <c r="A32" s="916" t="str">
        <f>'25'!A45:C45</f>
        <v>Начальник ПЭО</v>
      </c>
      <c r="B32" s="916"/>
      <c r="C32" s="916"/>
      <c r="D32" s="916"/>
      <c r="E32" s="916"/>
      <c r="F32" s="916"/>
      <c r="G32" s="916"/>
      <c r="H32" s="916"/>
      <c r="I32" s="916"/>
      <c r="J32" s="966" t="str">
        <f>'25'!E45</f>
        <v>М.С. Мироненко</v>
      </c>
      <c r="K32" s="905"/>
      <c r="L32" s="905"/>
      <c r="M32" s="905"/>
      <c r="N32" s="905"/>
      <c r="O32" s="905"/>
      <c r="P32" s="905"/>
      <c r="Q32" s="905"/>
      <c r="R32" s="905"/>
    </row>
  </sheetData>
  <sheetProtection/>
  <mergeCells count="49">
    <mergeCell ref="O1:R1"/>
    <mergeCell ref="A2:R2"/>
    <mergeCell ref="B3:Q3"/>
    <mergeCell ref="B4:Q4"/>
    <mergeCell ref="A6:A8"/>
    <mergeCell ref="B6:B8"/>
    <mergeCell ref="D6:H7"/>
    <mergeCell ref="I6:M6"/>
    <mergeCell ref="N6:R7"/>
    <mergeCell ref="D18:H18"/>
    <mergeCell ref="I18:M18"/>
    <mergeCell ref="N18:R18"/>
    <mergeCell ref="S6:W7"/>
    <mergeCell ref="I7:M7"/>
    <mergeCell ref="D12:H12"/>
    <mergeCell ref="N12:R12"/>
    <mergeCell ref="D15:H15"/>
    <mergeCell ref="N15:R15"/>
    <mergeCell ref="D16:H16"/>
    <mergeCell ref="N16:R16"/>
    <mergeCell ref="D17:H17"/>
    <mergeCell ref="I17:M17"/>
    <mergeCell ref="N17:R17"/>
    <mergeCell ref="D25:H25"/>
    <mergeCell ref="I25:M25"/>
    <mergeCell ref="N25:R25"/>
    <mergeCell ref="D20:H20"/>
    <mergeCell ref="N20:R20"/>
    <mergeCell ref="D21:H21"/>
    <mergeCell ref="N21:R21"/>
    <mergeCell ref="D22:H22"/>
    <mergeCell ref="N22:R22"/>
    <mergeCell ref="D23:H23"/>
    <mergeCell ref="N23:R23"/>
    <mergeCell ref="D24:H24"/>
    <mergeCell ref="I24:M24"/>
    <mergeCell ref="N24:R24"/>
    <mergeCell ref="D26:H26"/>
    <mergeCell ref="I26:M26"/>
    <mergeCell ref="N26:R26"/>
    <mergeCell ref="A27:B27"/>
    <mergeCell ref="D27:H27"/>
    <mergeCell ref="N27:R27"/>
    <mergeCell ref="D28:H28"/>
    <mergeCell ref="N28:R28"/>
    <mergeCell ref="D29:H29"/>
    <mergeCell ref="N29:R29"/>
    <mergeCell ref="A32:I32"/>
    <mergeCell ref="J32:R32"/>
  </mergeCells>
  <printOptions horizontalCentered="1"/>
  <pageMargins left="0.3937007874015748" right="0.1968503937007874" top="0.2362204724409449" bottom="0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Q65"/>
  <sheetViews>
    <sheetView view="pageBreakPreview" zoomScaleNormal="75" zoomScaleSheetLayoutView="100" zoomScalePageLayoutView="0" workbookViewId="0" topLeftCell="A55">
      <selection activeCell="F62" sqref="F62"/>
    </sheetView>
  </sheetViews>
  <sheetFormatPr defaultColWidth="9.125" defaultRowHeight="12.75" outlineLevelRow="1"/>
  <cols>
    <col min="1" max="1" width="8.375" style="583" customWidth="1"/>
    <col min="2" max="2" width="51.875" style="584" customWidth="1"/>
    <col min="3" max="3" width="12.875" style="584" customWidth="1"/>
    <col min="4" max="4" width="15.625" style="584" customWidth="1"/>
    <col min="5" max="7" width="16.50390625" style="584" customWidth="1"/>
    <col min="8" max="8" width="16.125" style="584" customWidth="1"/>
    <col min="9" max="9" width="11.00390625" style="584" bestFit="1" customWidth="1"/>
    <col min="10" max="16384" width="9.125" style="584" customWidth="1"/>
  </cols>
  <sheetData>
    <row r="1" spans="2:8" ht="41.25" customHeight="1">
      <c r="B1" s="999" t="s">
        <v>438</v>
      </c>
      <c r="C1" s="999"/>
      <c r="D1" s="999"/>
      <c r="E1" s="999"/>
      <c r="F1" s="999"/>
      <c r="G1" s="999"/>
      <c r="H1" s="999"/>
    </row>
    <row r="2" spans="1:7" ht="15.75" thickBot="1">
      <c r="A2" s="585"/>
      <c r="B2" s="585"/>
      <c r="C2" s="585"/>
      <c r="D2" s="585"/>
      <c r="E2" s="585"/>
      <c r="F2" s="585"/>
      <c r="G2" s="585"/>
    </row>
    <row r="3" spans="1:8" ht="30.75">
      <c r="A3" s="586" t="s">
        <v>377</v>
      </c>
      <c r="B3" s="587" t="s">
        <v>13</v>
      </c>
      <c r="C3" s="588" t="s">
        <v>378</v>
      </c>
      <c r="D3" s="589">
        <v>2015</v>
      </c>
      <c r="E3" s="590">
        <v>2016</v>
      </c>
      <c r="F3" s="590">
        <v>2017</v>
      </c>
      <c r="G3" s="590">
        <v>2018</v>
      </c>
      <c r="H3" s="751">
        <v>2019</v>
      </c>
    </row>
    <row r="4" spans="1:8" ht="18" customHeight="1">
      <c r="A4" s="1000" t="s">
        <v>379</v>
      </c>
      <c r="B4" s="1001"/>
      <c r="C4" s="1001"/>
      <c r="D4" s="1001"/>
      <c r="E4" s="1001"/>
      <c r="F4" s="1001"/>
      <c r="G4" s="1001"/>
      <c r="H4" s="1001"/>
    </row>
    <row r="5" spans="1:8" ht="16.5" customHeight="1">
      <c r="A5" s="591" t="s">
        <v>70</v>
      </c>
      <c r="B5" s="592" t="s">
        <v>380</v>
      </c>
      <c r="C5" s="593" t="s">
        <v>324</v>
      </c>
      <c r="D5" s="593" t="s">
        <v>381</v>
      </c>
      <c r="E5" s="594">
        <v>0.01</v>
      </c>
      <c r="F5" s="594">
        <v>0.01</v>
      </c>
      <c r="G5" s="594">
        <v>0.01</v>
      </c>
      <c r="H5" s="752">
        <v>0.01</v>
      </c>
    </row>
    <row r="6" spans="1:8" ht="32.25" customHeight="1">
      <c r="A6" s="591" t="s">
        <v>75</v>
      </c>
      <c r="B6" s="592" t="s">
        <v>382</v>
      </c>
      <c r="C6" s="593"/>
      <c r="D6" s="593" t="s">
        <v>381</v>
      </c>
      <c r="E6" s="593">
        <v>0.75</v>
      </c>
      <c r="F6" s="593">
        <v>0.75</v>
      </c>
      <c r="G6" s="593">
        <v>0.75</v>
      </c>
      <c r="H6" s="753">
        <v>0.75</v>
      </c>
    </row>
    <row r="7" spans="1:8" ht="47.25" customHeight="1">
      <c r="A7" s="591" t="s">
        <v>77</v>
      </c>
      <c r="B7" s="592" t="s">
        <v>383</v>
      </c>
      <c r="C7" s="593"/>
      <c r="D7" s="593"/>
      <c r="E7" s="593"/>
      <c r="F7" s="593"/>
      <c r="G7" s="593"/>
      <c r="H7" s="753"/>
    </row>
    <row r="8" spans="1:8" ht="30.75" customHeight="1">
      <c r="A8" s="1002" t="s">
        <v>384</v>
      </c>
      <c r="B8" s="1003"/>
      <c r="C8" s="1003"/>
      <c r="D8" s="1003"/>
      <c r="E8" s="1003"/>
      <c r="F8" s="1003"/>
      <c r="G8" s="1003"/>
      <c r="H8" s="1003"/>
    </row>
    <row r="9" spans="1:8" ht="15">
      <c r="A9" s="591" t="s">
        <v>70</v>
      </c>
      <c r="B9" s="592" t="s">
        <v>385</v>
      </c>
      <c r="C9" s="593"/>
      <c r="D9" s="593" t="s">
        <v>381</v>
      </c>
      <c r="E9" s="593">
        <v>1.063</v>
      </c>
      <c r="F9" s="593">
        <f aca="true" t="shared" si="0" ref="F9:H10">E9</f>
        <v>1.063</v>
      </c>
      <c r="G9" s="593">
        <f t="shared" si="0"/>
        <v>1.063</v>
      </c>
      <c r="H9" s="753">
        <f t="shared" si="0"/>
        <v>1.063</v>
      </c>
    </row>
    <row r="10" spans="1:17" ht="15">
      <c r="A10" s="591" t="s">
        <v>75</v>
      </c>
      <c r="B10" s="592" t="s">
        <v>386</v>
      </c>
      <c r="C10" s="593" t="s">
        <v>387</v>
      </c>
      <c r="D10" s="595">
        <f>2696.7+128.31+2.81</f>
        <v>2827.8199999999997</v>
      </c>
      <c r="E10" s="595">
        <f>D10</f>
        <v>2827.8199999999997</v>
      </c>
      <c r="F10" s="595">
        <f t="shared" si="0"/>
        <v>2827.8199999999997</v>
      </c>
      <c r="G10" s="595">
        <f t="shared" si="0"/>
        <v>2827.8199999999997</v>
      </c>
      <c r="H10" s="595">
        <f t="shared" si="0"/>
        <v>2827.8199999999997</v>
      </c>
      <c r="I10" s="769">
        <f>H10/D10-100%</f>
        <v>0</v>
      </c>
      <c r="J10" s="770">
        <f>H10-D10</f>
        <v>0</v>
      </c>
      <c r="K10" s="770"/>
      <c r="L10" s="770"/>
      <c r="M10" s="770"/>
      <c r="N10" s="770"/>
      <c r="O10" s="770"/>
      <c r="P10" s="770"/>
      <c r="Q10" s="770"/>
    </row>
    <row r="11" spans="1:8" ht="15">
      <c r="A11" s="591" t="s">
        <v>77</v>
      </c>
      <c r="B11" s="592" t="s">
        <v>388</v>
      </c>
      <c r="C11" s="593"/>
      <c r="D11" s="593" t="s">
        <v>381</v>
      </c>
      <c r="E11" s="596">
        <f>(E10-D10)/D10</f>
        <v>0</v>
      </c>
      <c r="F11" s="596">
        <f>(F10-E10)/E10</f>
        <v>0</v>
      </c>
      <c r="G11" s="596">
        <f>(G10-F10)/F10</f>
        <v>0</v>
      </c>
      <c r="H11" s="754">
        <f>(H10-G10)/G10</f>
        <v>0</v>
      </c>
    </row>
    <row r="12" spans="1:13" s="601" customFormat="1" ht="17.25" customHeight="1" thickBot="1">
      <c r="A12" s="597" t="s">
        <v>79</v>
      </c>
      <c r="B12" s="598" t="s">
        <v>389</v>
      </c>
      <c r="C12" s="598"/>
      <c r="D12" s="599"/>
      <c r="E12" s="600">
        <f>E9*(1+E6*E11)*(1-E5)</f>
        <v>1.05237</v>
      </c>
      <c r="F12" s="600">
        <f>F9*(1+F6*F11)*(1-F5)</f>
        <v>1.05237</v>
      </c>
      <c r="G12" s="600">
        <f>G9*(1+G6*G11)*(1-G5)</f>
        <v>1.05237</v>
      </c>
      <c r="H12" s="755">
        <f>H9*(1+H6*H11)*(1-H5)</f>
        <v>1.05237</v>
      </c>
      <c r="I12" s="771">
        <f>(E9-E9*(1+E6*0)*(1-E5))*4</f>
        <v>0.04251999999999967</v>
      </c>
      <c r="J12" s="771"/>
      <c r="K12" s="771"/>
      <c r="L12" s="771"/>
      <c r="M12" s="772"/>
    </row>
    <row r="13" spans="1:7" ht="15">
      <c r="A13" s="602"/>
      <c r="B13" s="603"/>
      <c r="C13" s="603"/>
      <c r="D13" s="603"/>
      <c r="E13" s="603"/>
      <c r="F13" s="603"/>
      <c r="G13" s="603"/>
    </row>
    <row r="14" spans="1:7" ht="15">
      <c r="A14" s="604"/>
      <c r="B14" s="605"/>
      <c r="C14" s="605"/>
      <c r="D14" s="605"/>
      <c r="E14" s="605"/>
      <c r="F14" s="605"/>
      <c r="G14" s="605"/>
    </row>
    <row r="15" spans="1:8" ht="15.75" thickBot="1">
      <c r="A15" s="1004" t="s">
        <v>390</v>
      </c>
      <c r="B15" s="1005"/>
      <c r="C15" s="1005"/>
      <c r="D15" s="1005"/>
      <c r="E15" s="1005"/>
      <c r="F15" s="1005"/>
      <c r="G15" s="1005"/>
      <c r="H15" s="1005"/>
    </row>
    <row r="16" spans="1:10" ht="30.75">
      <c r="A16" s="586" t="s">
        <v>377</v>
      </c>
      <c r="B16" s="587" t="s">
        <v>13</v>
      </c>
      <c r="C16" s="588" t="s">
        <v>378</v>
      </c>
      <c r="D16" s="589">
        <f>D3</f>
        <v>2015</v>
      </c>
      <c r="E16" s="590">
        <f>E3</f>
        <v>2016</v>
      </c>
      <c r="F16" s="590">
        <f>F3</f>
        <v>2017</v>
      </c>
      <c r="G16" s="590">
        <f>G3</f>
        <v>2018</v>
      </c>
      <c r="H16" s="751">
        <f>H3</f>
        <v>2019</v>
      </c>
      <c r="I16" s="606"/>
      <c r="J16" s="606"/>
    </row>
    <row r="17" spans="1:10" ht="16.5" customHeight="1">
      <c r="A17" s="607" t="s">
        <v>316</v>
      </c>
      <c r="B17" s="608" t="s">
        <v>391</v>
      </c>
      <c r="C17" s="609" t="s">
        <v>88</v>
      </c>
      <c r="D17" s="610"/>
      <c r="E17" s="611">
        <f aca="true" t="shared" si="1" ref="E17:F37">D17*$F$12</f>
        <v>0</v>
      </c>
      <c r="F17" s="611">
        <f t="shared" si="1"/>
        <v>0</v>
      </c>
      <c r="G17" s="611">
        <f aca="true" t="shared" si="2" ref="G17:H37">F17*$G$12</f>
        <v>0</v>
      </c>
      <c r="H17" s="756">
        <f t="shared" si="2"/>
        <v>0</v>
      </c>
      <c r="I17" s="606"/>
      <c r="J17" s="606"/>
    </row>
    <row r="18" spans="1:10" ht="15">
      <c r="A18" s="607" t="s">
        <v>317</v>
      </c>
      <c r="B18" s="608" t="s">
        <v>392</v>
      </c>
      <c r="C18" s="609" t="s">
        <v>88</v>
      </c>
      <c r="D18" s="612">
        <f>'18.2'!G8+'18.2'!G21+'18.2'!G37</f>
        <v>41685.627956933095</v>
      </c>
      <c r="E18" s="611">
        <f t="shared" si="1"/>
        <v>43868.704293037685</v>
      </c>
      <c r="F18" s="611">
        <f t="shared" si="1"/>
        <v>46166.10833686407</v>
      </c>
      <c r="G18" s="611">
        <f t="shared" si="2"/>
        <v>48583.827430465644</v>
      </c>
      <c r="H18" s="756">
        <f t="shared" si="2"/>
        <v>51128.16247299913</v>
      </c>
      <c r="I18" s="606"/>
      <c r="J18" s="606"/>
    </row>
    <row r="19" spans="1:10" ht="15">
      <c r="A19" s="607" t="s">
        <v>321</v>
      </c>
      <c r="B19" s="613" t="s">
        <v>393</v>
      </c>
      <c r="C19" s="609" t="s">
        <v>88</v>
      </c>
      <c r="D19" s="614">
        <f>'18.2'!G17</f>
        <v>19488.37038</v>
      </c>
      <c r="E19" s="611">
        <f>D19*$F$12</f>
        <v>20508.976336800602</v>
      </c>
      <c r="F19" s="611">
        <f>E19*$F$12</f>
        <v>21583.03142755885</v>
      </c>
      <c r="G19" s="611">
        <f>F19*$G$12</f>
        <v>22713.33478342011</v>
      </c>
      <c r="H19" s="756">
        <f t="shared" si="2"/>
        <v>23902.83212602782</v>
      </c>
      <c r="I19" s="606"/>
      <c r="J19" s="606"/>
    </row>
    <row r="20" spans="1:10" ht="18" customHeight="1" hidden="1" outlineLevel="1">
      <c r="A20" s="607" t="s">
        <v>394</v>
      </c>
      <c r="B20" s="615" t="s">
        <v>74</v>
      </c>
      <c r="C20" s="616" t="s">
        <v>88</v>
      </c>
      <c r="D20" s="617"/>
      <c r="E20" s="618"/>
      <c r="F20" s="611">
        <f t="shared" si="1"/>
        <v>0</v>
      </c>
      <c r="G20" s="611">
        <f t="shared" si="2"/>
        <v>0</v>
      </c>
      <c r="H20" s="756">
        <f t="shared" si="2"/>
        <v>0</v>
      </c>
      <c r="I20" s="606"/>
      <c r="J20" s="606"/>
    </row>
    <row r="21" spans="1:10" ht="17.25" customHeight="1" hidden="1" outlineLevel="1">
      <c r="A21" s="607" t="s">
        <v>395</v>
      </c>
      <c r="B21" s="615" t="s">
        <v>74</v>
      </c>
      <c r="C21" s="616" t="s">
        <v>88</v>
      </c>
      <c r="D21" s="617"/>
      <c r="E21" s="618"/>
      <c r="F21" s="611">
        <f t="shared" si="1"/>
        <v>0</v>
      </c>
      <c r="G21" s="611">
        <f t="shared" si="2"/>
        <v>0</v>
      </c>
      <c r="H21" s="756">
        <f t="shared" si="2"/>
        <v>0</v>
      </c>
      <c r="I21" s="606"/>
      <c r="J21" s="606"/>
    </row>
    <row r="22" spans="1:10" ht="17.25" customHeight="1" hidden="1" outlineLevel="1">
      <c r="A22" s="607" t="s">
        <v>396</v>
      </c>
      <c r="B22" s="615" t="s">
        <v>74</v>
      </c>
      <c r="C22" s="616" t="s">
        <v>88</v>
      </c>
      <c r="D22" s="617"/>
      <c r="E22" s="618"/>
      <c r="F22" s="611">
        <f t="shared" si="1"/>
        <v>0</v>
      </c>
      <c r="G22" s="611">
        <f t="shared" si="2"/>
        <v>0</v>
      </c>
      <c r="H22" s="756">
        <f t="shared" si="2"/>
        <v>0</v>
      </c>
      <c r="I22" s="606"/>
      <c r="J22" s="606"/>
    </row>
    <row r="23" spans="1:10" ht="34.5" customHeight="1" collapsed="1">
      <c r="A23" s="607" t="s">
        <v>397</v>
      </c>
      <c r="B23" s="615" t="s">
        <v>398</v>
      </c>
      <c r="C23" s="616" t="s">
        <v>88</v>
      </c>
      <c r="D23" s="617">
        <f>'18.2'!G23</f>
        <v>10016.67047091282</v>
      </c>
      <c r="E23" s="611">
        <f t="shared" si="1"/>
        <v>10541.243503474525</v>
      </c>
      <c r="F23" s="611">
        <f t="shared" si="1"/>
        <v>11093.288425751485</v>
      </c>
      <c r="G23" s="611">
        <f t="shared" si="2"/>
        <v>11674.24394060809</v>
      </c>
      <c r="H23" s="756">
        <f t="shared" si="2"/>
        <v>12285.624095777735</v>
      </c>
      <c r="I23" s="606"/>
      <c r="J23" s="606"/>
    </row>
    <row r="24" spans="1:10" ht="17.25" customHeight="1" hidden="1" outlineLevel="1">
      <c r="A24" s="607" t="s">
        <v>399</v>
      </c>
      <c r="B24" s="615" t="s">
        <v>74</v>
      </c>
      <c r="C24" s="616" t="s">
        <v>88</v>
      </c>
      <c r="D24" s="617"/>
      <c r="E24" s="618"/>
      <c r="F24" s="611">
        <f t="shared" si="1"/>
        <v>0</v>
      </c>
      <c r="G24" s="611">
        <f t="shared" si="2"/>
        <v>0</v>
      </c>
      <c r="H24" s="756">
        <f t="shared" si="2"/>
        <v>0</v>
      </c>
      <c r="I24" s="606"/>
      <c r="J24" s="606"/>
    </row>
    <row r="25" spans="1:10" ht="17.25" customHeight="1" hidden="1" outlineLevel="1">
      <c r="A25" s="607" t="s">
        <v>400</v>
      </c>
      <c r="B25" s="615" t="s">
        <v>74</v>
      </c>
      <c r="C25" s="616" t="s">
        <v>88</v>
      </c>
      <c r="D25" s="617"/>
      <c r="E25" s="618"/>
      <c r="F25" s="611">
        <f t="shared" si="1"/>
        <v>0</v>
      </c>
      <c r="G25" s="611">
        <f t="shared" si="2"/>
        <v>0</v>
      </c>
      <c r="H25" s="756">
        <f t="shared" si="2"/>
        <v>0</v>
      </c>
      <c r="I25" s="606"/>
      <c r="J25" s="606"/>
    </row>
    <row r="26" spans="1:10" ht="17.25" customHeight="1" hidden="1" outlineLevel="1">
      <c r="A26" s="607" t="s">
        <v>401</v>
      </c>
      <c r="B26" s="615" t="s">
        <v>74</v>
      </c>
      <c r="C26" s="616" t="s">
        <v>88</v>
      </c>
      <c r="D26" s="617"/>
      <c r="E26" s="618"/>
      <c r="F26" s="611">
        <f t="shared" si="1"/>
        <v>0</v>
      </c>
      <c r="G26" s="611">
        <f t="shared" si="2"/>
        <v>0</v>
      </c>
      <c r="H26" s="756">
        <f t="shared" si="2"/>
        <v>0</v>
      </c>
      <c r="I26" s="606"/>
      <c r="J26" s="606"/>
    </row>
    <row r="27" spans="1:10" ht="33" customHeight="1" collapsed="1">
      <c r="A27" s="607" t="s">
        <v>402</v>
      </c>
      <c r="B27" s="615" t="s">
        <v>403</v>
      </c>
      <c r="C27" s="616" t="s">
        <v>88</v>
      </c>
      <c r="D27" s="617">
        <f>'18.2'!G39</f>
        <v>7193.651227261946</v>
      </c>
      <c r="E27" s="617">
        <f>'18.2'!G39</f>
        <v>7193.651227261946</v>
      </c>
      <c r="F27" s="611">
        <f t="shared" si="1"/>
        <v>7570.382742033654</v>
      </c>
      <c r="G27" s="611">
        <f t="shared" si="2"/>
        <v>7966.843686233957</v>
      </c>
      <c r="H27" s="756">
        <f t="shared" si="2"/>
        <v>8384.06729008203</v>
      </c>
      <c r="I27" s="606"/>
      <c r="J27" s="606"/>
    </row>
    <row r="28" spans="1:10" ht="15" hidden="1" outlineLevel="1">
      <c r="A28" s="607" t="s">
        <v>404</v>
      </c>
      <c r="B28" s="619" t="s">
        <v>74</v>
      </c>
      <c r="C28" s="616" t="s">
        <v>88</v>
      </c>
      <c r="D28" s="614"/>
      <c r="E28" s="620"/>
      <c r="F28" s="611">
        <f t="shared" si="1"/>
        <v>0</v>
      </c>
      <c r="G28" s="611">
        <f t="shared" si="2"/>
        <v>0</v>
      </c>
      <c r="H28" s="756">
        <f t="shared" si="2"/>
        <v>0</v>
      </c>
      <c r="I28" s="606"/>
      <c r="J28" s="606"/>
    </row>
    <row r="29" spans="1:10" ht="15" hidden="1" outlineLevel="1">
      <c r="A29" s="607" t="s">
        <v>405</v>
      </c>
      <c r="B29" s="619" t="s">
        <v>74</v>
      </c>
      <c r="C29" s="616" t="s">
        <v>88</v>
      </c>
      <c r="D29" s="614"/>
      <c r="E29" s="620"/>
      <c r="F29" s="611">
        <f t="shared" si="1"/>
        <v>0</v>
      </c>
      <c r="G29" s="611">
        <f t="shared" si="2"/>
        <v>0</v>
      </c>
      <c r="H29" s="756">
        <f t="shared" si="2"/>
        <v>0</v>
      </c>
      <c r="I29" s="606"/>
      <c r="J29" s="606"/>
    </row>
    <row r="30" spans="1:10" ht="18" customHeight="1" hidden="1" outlineLevel="1">
      <c r="A30" s="607" t="s">
        <v>406</v>
      </c>
      <c r="B30" s="619" t="s">
        <v>74</v>
      </c>
      <c r="C30" s="616" t="s">
        <v>88</v>
      </c>
      <c r="D30" s="614"/>
      <c r="E30" s="620"/>
      <c r="F30" s="611">
        <f t="shared" si="1"/>
        <v>0</v>
      </c>
      <c r="G30" s="611">
        <f t="shared" si="2"/>
        <v>0</v>
      </c>
      <c r="H30" s="756">
        <f t="shared" si="2"/>
        <v>0</v>
      </c>
      <c r="I30" s="606"/>
      <c r="J30" s="606"/>
    </row>
    <row r="31" spans="1:10" ht="18" customHeight="1" collapsed="1">
      <c r="A31" s="621" t="s">
        <v>407</v>
      </c>
      <c r="B31" s="622" t="s">
        <v>408</v>
      </c>
      <c r="C31" s="616" t="s">
        <v>88</v>
      </c>
      <c r="D31" s="623">
        <f>D32+D33+D34+D35+D36</f>
        <v>376.2321766426608</v>
      </c>
      <c r="E31" s="623">
        <f>E32+E33+E34+E35+E36</f>
        <v>376.2321766426608</v>
      </c>
      <c r="F31" s="611">
        <f t="shared" si="1"/>
        <v>395.935455733437</v>
      </c>
      <c r="G31" s="611">
        <f t="shared" si="2"/>
        <v>416.6705955501971</v>
      </c>
      <c r="H31" s="756">
        <f t="shared" si="2"/>
        <v>438.49163463916096</v>
      </c>
      <c r="I31" s="606"/>
      <c r="J31" s="606"/>
    </row>
    <row r="32" spans="1:10" ht="18" customHeight="1">
      <c r="A32" s="621" t="s">
        <v>409</v>
      </c>
      <c r="B32" s="624" t="s">
        <v>410</v>
      </c>
      <c r="C32" s="616" t="s">
        <v>88</v>
      </c>
      <c r="D32" s="623"/>
      <c r="E32" s="623"/>
      <c r="F32" s="611">
        <f t="shared" si="1"/>
        <v>0</v>
      </c>
      <c r="G32" s="611">
        <f t="shared" si="2"/>
        <v>0</v>
      </c>
      <c r="H32" s="756">
        <f t="shared" si="2"/>
        <v>0</v>
      </c>
      <c r="I32" s="606"/>
      <c r="J32" s="606"/>
    </row>
    <row r="33" spans="1:10" ht="18" customHeight="1">
      <c r="A33" s="621" t="s">
        <v>411</v>
      </c>
      <c r="B33" s="625" t="s">
        <v>412</v>
      </c>
      <c r="C33" s="616" t="s">
        <v>88</v>
      </c>
      <c r="D33" s="623">
        <f>'21.3'!G19</f>
        <v>293.63247217082494</v>
      </c>
      <c r="E33" s="623">
        <f>'21.3'!G19</f>
        <v>293.63247217082494</v>
      </c>
      <c r="F33" s="611">
        <f t="shared" si="1"/>
        <v>309.01000473841106</v>
      </c>
      <c r="G33" s="611">
        <f t="shared" si="2"/>
        <v>325.19285868656164</v>
      </c>
      <c r="H33" s="756">
        <f t="shared" si="2"/>
        <v>342.2232086959769</v>
      </c>
      <c r="I33" s="606"/>
      <c r="J33" s="606"/>
    </row>
    <row r="34" spans="1:10" ht="18" customHeight="1" thickBot="1">
      <c r="A34" s="621" t="s">
        <v>413</v>
      </c>
      <c r="B34" s="626" t="s">
        <v>414</v>
      </c>
      <c r="C34" s="616" t="s">
        <v>88</v>
      </c>
      <c r="D34" s="623">
        <f>'21.3'!G26</f>
        <v>82.59970447183588</v>
      </c>
      <c r="E34" s="623">
        <f>'21.3'!G26</f>
        <v>82.59970447183588</v>
      </c>
      <c r="F34" s="611">
        <f t="shared" si="1"/>
        <v>86.92545099502593</v>
      </c>
      <c r="G34" s="611">
        <f t="shared" si="2"/>
        <v>91.47773686363544</v>
      </c>
      <c r="H34" s="756">
        <f t="shared" si="2"/>
        <v>96.26842594318403</v>
      </c>
      <c r="I34" s="606"/>
      <c r="J34" s="606"/>
    </row>
    <row r="35" spans="1:10" ht="18" customHeight="1" hidden="1" outlineLevel="1">
      <c r="A35" s="621" t="s">
        <v>415</v>
      </c>
      <c r="B35" s="627" t="s">
        <v>74</v>
      </c>
      <c r="C35" s="616" t="s">
        <v>88</v>
      </c>
      <c r="D35" s="623"/>
      <c r="E35" s="628"/>
      <c r="F35" s="611">
        <f t="shared" si="1"/>
        <v>0</v>
      </c>
      <c r="G35" s="611">
        <f t="shared" si="2"/>
        <v>0</v>
      </c>
      <c r="H35" s="756">
        <f t="shared" si="2"/>
        <v>0</v>
      </c>
      <c r="I35" s="606"/>
      <c r="J35" s="606"/>
    </row>
    <row r="36" spans="1:10" ht="18" customHeight="1" hidden="1" outlineLevel="1" thickBot="1">
      <c r="A36" s="621" t="s">
        <v>416</v>
      </c>
      <c r="B36" s="627" t="s">
        <v>74</v>
      </c>
      <c r="C36" s="629" t="s">
        <v>88</v>
      </c>
      <c r="D36" s="623"/>
      <c r="E36" s="628"/>
      <c r="F36" s="630">
        <f t="shared" si="1"/>
        <v>0</v>
      </c>
      <c r="G36" s="630">
        <f t="shared" si="2"/>
        <v>0</v>
      </c>
      <c r="H36" s="757">
        <f t="shared" si="2"/>
        <v>0</v>
      </c>
      <c r="I36" s="606"/>
      <c r="J36" s="606"/>
    </row>
    <row r="37" spans="1:10" ht="18" customHeight="1" collapsed="1" thickBot="1">
      <c r="A37" s="631"/>
      <c r="B37" s="632" t="s">
        <v>417</v>
      </c>
      <c r="C37" s="633" t="s">
        <v>88</v>
      </c>
      <c r="D37" s="634">
        <f>D17+D18+D19+D23+D27+D31</f>
        <v>78760.55221175052</v>
      </c>
      <c r="E37" s="634">
        <f>E17+E18+E19+E23+E27+E31</f>
        <v>82488.80753721742</v>
      </c>
      <c r="F37" s="635">
        <f t="shared" si="1"/>
        <v>86808.7463879415</v>
      </c>
      <c r="G37" s="635">
        <f t="shared" si="2"/>
        <v>91354.920436278</v>
      </c>
      <c r="H37" s="758">
        <f t="shared" si="2"/>
        <v>96139.17761952589</v>
      </c>
      <c r="I37" s="606"/>
      <c r="J37" s="606"/>
    </row>
    <row r="38" spans="1:10" ht="15">
      <c r="A38" s="636"/>
      <c r="B38" s="637"/>
      <c r="C38" s="637"/>
      <c r="D38" s="637"/>
      <c r="E38" s="637"/>
      <c r="F38" s="637"/>
      <c r="G38" s="637"/>
      <c r="H38" s="606"/>
      <c r="I38" s="606"/>
      <c r="J38" s="606"/>
    </row>
    <row r="39" spans="1:10" ht="15.75" customHeight="1" thickBot="1">
      <c r="A39" s="1006" t="s">
        <v>418</v>
      </c>
      <c r="B39" s="1007"/>
      <c r="C39" s="1007"/>
      <c r="D39" s="1007"/>
      <c r="E39" s="1007"/>
      <c r="F39" s="1007"/>
      <c r="G39" s="1007"/>
      <c r="H39" s="1007"/>
      <c r="I39" s="606"/>
      <c r="J39" s="606"/>
    </row>
    <row r="40" spans="1:10" ht="45" customHeight="1">
      <c r="A40" s="638" t="s">
        <v>377</v>
      </c>
      <c r="B40" s="639" t="s">
        <v>13</v>
      </c>
      <c r="C40" s="640" t="s">
        <v>378</v>
      </c>
      <c r="D40" s="589">
        <f>D16</f>
        <v>2015</v>
      </c>
      <c r="E40" s="590">
        <f>E16</f>
        <v>2016</v>
      </c>
      <c r="F40" s="590">
        <f>F16</f>
        <v>2017</v>
      </c>
      <c r="G40" s="590">
        <f>G16</f>
        <v>2018</v>
      </c>
      <c r="H40" s="751">
        <f>H16</f>
        <v>2019</v>
      </c>
      <c r="I40" s="606"/>
      <c r="J40" s="606"/>
    </row>
    <row r="41" spans="1:10" ht="15">
      <c r="A41" s="641" t="s">
        <v>248</v>
      </c>
      <c r="B41" s="642" t="s">
        <v>284</v>
      </c>
      <c r="C41" s="643" t="s">
        <v>88</v>
      </c>
      <c r="D41" s="644">
        <f>'18.2'!G12</f>
        <v>12064.787502619065</v>
      </c>
      <c r="E41" s="645">
        <f>'18.2'!G12</f>
        <v>12064.787502619065</v>
      </c>
      <c r="F41" s="645">
        <f>E41</f>
        <v>12064.787502619065</v>
      </c>
      <c r="G41" s="645">
        <f>F41</f>
        <v>12064.787502619065</v>
      </c>
      <c r="H41" s="759">
        <f>G41</f>
        <v>12064.787502619065</v>
      </c>
      <c r="I41" s="606"/>
      <c r="J41" s="606"/>
    </row>
    <row r="42" spans="1:10" ht="30.75">
      <c r="A42" s="641" t="s">
        <v>250</v>
      </c>
      <c r="B42" s="642" t="s">
        <v>419</v>
      </c>
      <c r="C42" s="643" t="s">
        <v>88</v>
      </c>
      <c r="D42" s="644">
        <f>'21.3'!G14</f>
        <v>16190.073344225713</v>
      </c>
      <c r="E42" s="776">
        <f>'[4]Ист.фин'!$BU$36*1000-E41</f>
        <v>7225.036522135351</v>
      </c>
      <c r="F42" s="776">
        <f>'[4]Ист.фин'!$CF$36*1000-F41</f>
        <v>8767.033984912096</v>
      </c>
      <c r="G42" s="773">
        <f>G59*0.12</f>
        <v>16769.956432927305</v>
      </c>
      <c r="H42" s="773">
        <f>H59*0.12</f>
        <v>17548.97660684001</v>
      </c>
      <c r="I42" s="606"/>
      <c r="J42" s="606"/>
    </row>
    <row r="43" spans="1:10" ht="15">
      <c r="A43" s="641" t="s">
        <v>252</v>
      </c>
      <c r="B43" s="642" t="s">
        <v>420</v>
      </c>
      <c r="C43" s="643" t="s">
        <v>88</v>
      </c>
      <c r="D43" s="644"/>
      <c r="E43" s="645"/>
      <c r="F43" s="645"/>
      <c r="G43" s="645"/>
      <c r="H43" s="759"/>
      <c r="I43" s="606"/>
      <c r="J43" s="606"/>
    </row>
    <row r="44" spans="1:10" ht="15">
      <c r="A44" s="641" t="s">
        <v>254</v>
      </c>
      <c r="B44" s="642" t="s">
        <v>421</v>
      </c>
      <c r="C44" s="643" t="s">
        <v>88</v>
      </c>
      <c r="D44" s="644"/>
      <c r="E44" s="645"/>
      <c r="F44" s="645"/>
      <c r="G44" s="645"/>
      <c r="H44" s="759"/>
      <c r="J44" s="606"/>
    </row>
    <row r="45" spans="1:8" ht="15">
      <c r="A45" s="646" t="s">
        <v>256</v>
      </c>
      <c r="B45" s="608" t="s">
        <v>422</v>
      </c>
      <c r="C45" s="609" t="s">
        <v>88</v>
      </c>
      <c r="D45" s="647"/>
      <c r="E45" s="648"/>
      <c r="F45" s="648"/>
      <c r="G45" s="648"/>
      <c r="H45" s="760"/>
    </row>
    <row r="46" spans="1:8" ht="15">
      <c r="A46" s="646" t="s">
        <v>258</v>
      </c>
      <c r="B46" s="608" t="s">
        <v>423</v>
      </c>
      <c r="C46" s="609" t="s">
        <v>88</v>
      </c>
      <c r="D46" s="649">
        <f>D47+D48+D49</f>
        <v>4688.345948389141</v>
      </c>
      <c r="E46" s="649">
        <f>E47+E48+E49</f>
        <v>2970.585019299601</v>
      </c>
      <c r="F46" s="649">
        <f>F47+F48+F49</f>
        <v>3282.925167673105</v>
      </c>
      <c r="G46" s="765">
        <f>G47+G48+G49</f>
        <v>4887.656685239304</v>
      </c>
      <c r="H46" s="761">
        <f>H47+H48+H49</f>
        <v>5047.824927839627</v>
      </c>
    </row>
    <row r="47" spans="1:8" ht="15">
      <c r="A47" s="646" t="s">
        <v>424</v>
      </c>
      <c r="B47" s="619" t="s">
        <v>236</v>
      </c>
      <c r="C47" s="609" t="s">
        <v>88</v>
      </c>
      <c r="D47" s="650">
        <f>D42*0.2</f>
        <v>3238.0146688451428</v>
      </c>
      <c r="E47" s="651">
        <f>(E42+E31)*0.2</f>
        <v>1520.2537397556025</v>
      </c>
      <c r="F47" s="651">
        <f>(F42+F31)*0.2</f>
        <v>1832.5938881291067</v>
      </c>
      <c r="G47" s="651">
        <f>(G42+G31)*0.2</f>
        <v>3437.3254056955006</v>
      </c>
      <c r="H47" s="762">
        <f>(H42+H31)*0.2</f>
        <v>3597.4936482958346</v>
      </c>
    </row>
    <row r="48" spans="1:8" ht="15">
      <c r="A48" s="646" t="s">
        <v>425</v>
      </c>
      <c r="B48" s="619" t="s">
        <v>426</v>
      </c>
      <c r="C48" s="609" t="s">
        <v>88</v>
      </c>
      <c r="D48" s="650">
        <f>'21.3'!G36</f>
        <v>1450.3312795439983</v>
      </c>
      <c r="E48" s="651">
        <f>'21.3'!G36</f>
        <v>1450.3312795439983</v>
      </c>
      <c r="F48" s="651">
        <f>E48</f>
        <v>1450.3312795439983</v>
      </c>
      <c r="G48" s="651">
        <f>F48</f>
        <v>1450.3312795439983</v>
      </c>
      <c r="H48" s="762">
        <f>G48</f>
        <v>1450.3312795439983</v>
      </c>
    </row>
    <row r="49" spans="1:8" ht="15">
      <c r="A49" s="646" t="s">
        <v>427</v>
      </c>
      <c r="B49" s="619" t="s">
        <v>428</v>
      </c>
      <c r="C49" s="609" t="s">
        <v>88</v>
      </c>
      <c r="D49" s="650"/>
      <c r="E49" s="651"/>
      <c r="F49" s="651"/>
      <c r="G49" s="651"/>
      <c r="H49" s="762"/>
    </row>
    <row r="50" spans="1:8" ht="15">
      <c r="A50" s="646" t="s">
        <v>260</v>
      </c>
      <c r="B50" s="642" t="s">
        <v>165</v>
      </c>
      <c r="C50" s="609" t="s">
        <v>88</v>
      </c>
      <c r="D50" s="650">
        <f>D18*0.302</f>
        <v>12589.059642993794</v>
      </c>
      <c r="E50" s="651">
        <f>E18*0.302</f>
        <v>13248.34869649738</v>
      </c>
      <c r="F50" s="651">
        <f>F18*0.302</f>
        <v>13942.164717732949</v>
      </c>
      <c r="G50" s="651">
        <f>G18*0.302</f>
        <v>14672.315884000624</v>
      </c>
      <c r="H50" s="651">
        <f>H18*0.302</f>
        <v>15440.705066845738</v>
      </c>
    </row>
    <row r="51" spans="1:8" ht="15">
      <c r="A51" s="646" t="s">
        <v>262</v>
      </c>
      <c r="B51" s="608" t="s">
        <v>429</v>
      </c>
      <c r="C51" s="609" t="s">
        <v>88</v>
      </c>
      <c r="D51" s="650"/>
      <c r="E51" s="651"/>
      <c r="F51" s="651"/>
      <c r="G51" s="651"/>
      <c r="H51" s="762"/>
    </row>
    <row r="52" spans="1:8" ht="31.5" thickBot="1">
      <c r="A52" s="652" t="s">
        <v>264</v>
      </c>
      <c r="B52" s="653" t="s">
        <v>430</v>
      </c>
      <c r="C52" s="654" t="s">
        <v>88</v>
      </c>
      <c r="D52" s="655"/>
      <c r="E52" s="656"/>
      <c r="F52" s="656"/>
      <c r="G52" s="656"/>
      <c r="H52" s="763"/>
    </row>
    <row r="53" spans="1:8" ht="15.75" thickBot="1">
      <c r="A53" s="657"/>
      <c r="B53" s="632" t="s">
        <v>431</v>
      </c>
      <c r="C53" s="658" t="s">
        <v>88</v>
      </c>
      <c r="D53" s="659">
        <f>D41+D42+D43+D44+D45+D46+D50+D51+D52</f>
        <v>45532.266438227714</v>
      </c>
      <c r="E53" s="660">
        <f>E41+E42+E43+E44+E45+E46+E50+E51+E52</f>
        <v>35508.757740551395</v>
      </c>
      <c r="F53" s="660">
        <f>F41+F42+F43+F44+F45+F46+F50+F51+F52</f>
        <v>38056.91137293721</v>
      </c>
      <c r="G53" s="660">
        <f>G41+G42+G43+G44+G45+G46+G50+G51+G52</f>
        <v>48394.716504786295</v>
      </c>
      <c r="H53" s="764">
        <f>H41+H42+H43+H44+H45+H46+H50+H51+H52</f>
        <v>50102.294104144436</v>
      </c>
    </row>
    <row r="54" spans="1:7" ht="15.75" thickBot="1">
      <c r="A54" s="661"/>
      <c r="B54" s="662"/>
      <c r="C54" s="662"/>
      <c r="D54" s="662"/>
      <c r="E54" s="662"/>
      <c r="F54" s="662"/>
      <c r="G54" s="662"/>
    </row>
    <row r="55" spans="1:8" ht="30.75">
      <c r="A55" s="638" t="s">
        <v>377</v>
      </c>
      <c r="B55" s="639" t="s">
        <v>13</v>
      </c>
      <c r="C55" s="639" t="s">
        <v>378</v>
      </c>
      <c r="D55" s="663">
        <f>D40</f>
        <v>2015</v>
      </c>
      <c r="E55" s="590">
        <f>E40</f>
        <v>2016</v>
      </c>
      <c r="F55" s="590">
        <f>F40</f>
        <v>2017</v>
      </c>
      <c r="G55" s="590">
        <f>G40</f>
        <v>2018</v>
      </c>
      <c r="H55" s="751">
        <f>H40</f>
        <v>2019</v>
      </c>
    </row>
    <row r="56" spans="1:8" ht="15.75" thickBot="1">
      <c r="A56" s="664" t="s">
        <v>77</v>
      </c>
      <c r="B56" s="665" t="s">
        <v>432</v>
      </c>
      <c r="C56" s="666" t="s">
        <v>88</v>
      </c>
      <c r="D56" s="667">
        <f>-'2012 факт ЭЭ'!D33</f>
        <v>16286.699123830971</v>
      </c>
      <c r="E56" s="668"/>
      <c r="F56" s="668"/>
      <c r="G56" s="668"/>
      <c r="H56" s="767"/>
    </row>
    <row r="57" spans="1:7" ht="18.75" customHeight="1" thickBot="1">
      <c r="A57" s="661"/>
      <c r="B57" s="662"/>
      <c r="C57" s="662"/>
      <c r="D57" s="669"/>
      <c r="E57" s="662"/>
      <c r="F57" s="662"/>
      <c r="G57" s="662"/>
    </row>
    <row r="58" spans="1:8" ht="30.75">
      <c r="A58" s="638" t="s">
        <v>377</v>
      </c>
      <c r="B58" s="639" t="s">
        <v>13</v>
      </c>
      <c r="C58" s="639" t="s">
        <v>378</v>
      </c>
      <c r="D58" s="663">
        <f>D55</f>
        <v>2015</v>
      </c>
      <c r="E58" s="590">
        <f>E55</f>
        <v>2016</v>
      </c>
      <c r="F58" s="590">
        <f>F55</f>
        <v>2017</v>
      </c>
      <c r="G58" s="590">
        <f>G55</f>
        <v>2018</v>
      </c>
      <c r="H58" s="751">
        <f>H55</f>
        <v>2019</v>
      </c>
    </row>
    <row r="59" spans="1:9" ht="15.75" thickBot="1">
      <c r="A59" s="664" t="s">
        <v>79</v>
      </c>
      <c r="B59" s="670" t="s">
        <v>433</v>
      </c>
      <c r="C59" s="666" t="s">
        <v>88</v>
      </c>
      <c r="D59" s="668">
        <f>D37+D53+D56</f>
        <v>140579.5177738092</v>
      </c>
      <c r="E59" s="668">
        <f>E37+E53+E56</f>
        <v>117997.56527776882</v>
      </c>
      <c r="F59" s="671">
        <f>F37+F53+F56</f>
        <v>124865.6577608787</v>
      </c>
      <c r="G59" s="671">
        <f>G37+G53+G56</f>
        <v>139749.6369410643</v>
      </c>
      <c r="H59" s="768">
        <f>H37+H53+H56</f>
        <v>146241.4717236703</v>
      </c>
      <c r="I59" s="778">
        <f>'24'!J22+'25'!H31</f>
        <v>153070.92124357272</v>
      </c>
    </row>
    <row r="60" spans="5:7" ht="15">
      <c r="E60" s="672"/>
      <c r="F60" s="672"/>
      <c r="G60" s="673"/>
    </row>
    <row r="61" spans="2:7" ht="33" customHeight="1">
      <c r="B61" s="766" t="str">
        <f>'27'!A32</f>
        <v>Начальник ПЭО</v>
      </c>
      <c r="C61" s="674"/>
      <c r="D61" s="674"/>
      <c r="E61" s="675"/>
      <c r="F61" s="676" t="str">
        <f>'27'!J32</f>
        <v>М.С. Мироненко</v>
      </c>
      <c r="G61" s="672"/>
    </row>
    <row r="62" spans="3:7" ht="31.5" customHeight="1">
      <c r="C62" s="774" t="s">
        <v>446</v>
      </c>
      <c r="D62" s="775">
        <f>D59*0.12</f>
        <v>16869.542132857103</v>
      </c>
      <c r="E62" s="672"/>
      <c r="F62" s="672"/>
      <c r="G62" s="672"/>
    </row>
    <row r="63" spans="5:7" ht="15">
      <c r="E63" s="672"/>
      <c r="F63" s="672"/>
      <c r="G63" s="672"/>
    </row>
    <row r="64" spans="5:7" ht="15">
      <c r="E64" s="672"/>
      <c r="F64" s="672"/>
      <c r="G64" s="672"/>
    </row>
    <row r="65" spans="5:7" ht="15">
      <c r="E65" s="672"/>
      <c r="F65" s="672"/>
      <c r="G65" s="672"/>
    </row>
  </sheetData>
  <sheetProtection/>
  <mergeCells count="5">
    <mergeCell ref="B1:H1"/>
    <mergeCell ref="A4:H4"/>
    <mergeCell ref="A8:H8"/>
    <mergeCell ref="A15:H15"/>
    <mergeCell ref="A39:H39"/>
  </mergeCells>
  <dataValidations count="1">
    <dataValidation type="decimal" allowBlank="1" showInputMessage="1" showErrorMessage="1" error="Ввведеное значение неверно" sqref="D56 D47:H52 D28:E36 D18:D19 D41:H45">
      <formula1>-1000000000000000</formula1>
      <formula2>1000000000000000</formula2>
    </dataValidation>
  </dataValidations>
  <printOptions horizontalCentered="1"/>
  <pageMargins left="0.5905511811023623" right="0.1968503937007874" top="0.35433070866141736" bottom="0.2755905511811024" header="0.31496062992125984" footer="0.2755905511811024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38"/>
  <sheetViews>
    <sheetView view="pageBreakPreview" zoomScale="85" zoomScaleSheetLayoutView="85" zoomScalePageLayoutView="0" workbookViewId="0" topLeftCell="A1">
      <selection activeCell="A9" sqref="A9:S9"/>
    </sheetView>
  </sheetViews>
  <sheetFormatPr defaultColWidth="9.125" defaultRowHeight="12.75" outlineLevelRow="1" outlineLevelCol="1"/>
  <cols>
    <col min="1" max="1" width="4.625" style="3" customWidth="1"/>
    <col min="2" max="2" width="0.5" style="3" customWidth="1"/>
    <col min="3" max="3" width="55.625" style="3" customWidth="1"/>
    <col min="4" max="4" width="0.5" style="3" customWidth="1"/>
    <col min="5" max="6" width="7.625" style="3" customWidth="1"/>
    <col min="7" max="7" width="5.00390625" style="3" customWidth="1"/>
    <col min="8" max="8" width="6.625" style="3" customWidth="1"/>
    <col min="9" max="9" width="6.25390625" style="3" customWidth="1"/>
    <col min="10" max="11" width="7.625" style="3" hidden="1" customWidth="1" outlineLevel="1"/>
    <col min="12" max="12" width="4.625" style="3" hidden="1" customWidth="1" outlineLevel="1"/>
    <col min="13" max="13" width="6.625" style="3" hidden="1" customWidth="1" outlineLevel="1"/>
    <col min="14" max="14" width="6.25390625" style="3" hidden="1" customWidth="1" outlineLevel="1"/>
    <col min="15" max="15" width="7.625" style="3" customWidth="1" collapsed="1"/>
    <col min="16" max="16" width="7.625" style="3" customWidth="1"/>
    <col min="17" max="17" width="4.625" style="3" customWidth="1"/>
    <col min="18" max="18" width="7.875" style="3" customWidth="1"/>
    <col min="19" max="19" width="6.25390625" style="3" customWidth="1"/>
    <col min="20" max="16384" width="9.125" style="3" customWidth="1"/>
  </cols>
  <sheetData>
    <row r="1" spans="16:19" ht="28.5" customHeight="1">
      <c r="P1" s="805" t="s">
        <v>0</v>
      </c>
      <c r="Q1" s="805"/>
      <c r="R1" s="805"/>
      <c r="S1" s="805"/>
    </row>
    <row r="2" spans="1:19" ht="15" hidden="1" outlineLevel="1">
      <c r="A2" s="806" t="s">
        <v>1</v>
      </c>
      <c r="B2" s="806"/>
      <c r="C2" s="806"/>
      <c r="D2" s="806"/>
      <c r="E2" s="806"/>
      <c r="F2" s="806"/>
      <c r="G2" s="806"/>
      <c r="K2" s="806" t="s">
        <v>1</v>
      </c>
      <c r="L2" s="806"/>
      <c r="M2" s="806"/>
      <c r="N2" s="806"/>
      <c r="O2" s="806"/>
      <c r="P2" s="806"/>
      <c r="Q2" s="806"/>
      <c r="R2" s="806"/>
      <c r="S2" s="806"/>
    </row>
    <row r="3" spans="1:19" ht="15" hidden="1" outlineLevel="1">
      <c r="A3" s="804" t="s">
        <v>2</v>
      </c>
      <c r="B3" s="804"/>
      <c r="C3" s="804"/>
      <c r="D3" s="804"/>
      <c r="E3" s="804"/>
      <c r="F3" s="804"/>
      <c r="G3" s="804"/>
      <c r="K3" s="804" t="s">
        <v>3</v>
      </c>
      <c r="L3" s="804"/>
      <c r="M3" s="804"/>
      <c r="N3" s="804"/>
      <c r="O3" s="804"/>
      <c r="P3" s="804"/>
      <c r="Q3" s="804"/>
      <c r="R3" s="804"/>
      <c r="S3" s="804"/>
    </row>
    <row r="4" spans="1:19" ht="15" hidden="1" outlineLevel="1">
      <c r="A4" s="804" t="s">
        <v>4</v>
      </c>
      <c r="B4" s="804"/>
      <c r="C4" s="804"/>
      <c r="D4" s="804"/>
      <c r="E4" s="804"/>
      <c r="F4" s="804"/>
      <c r="G4" s="804"/>
      <c r="K4" s="804" t="s">
        <v>5</v>
      </c>
      <c r="L4" s="804"/>
      <c r="M4" s="804"/>
      <c r="N4" s="804"/>
      <c r="O4" s="804"/>
      <c r="P4" s="804"/>
      <c r="Q4" s="804"/>
      <c r="R4" s="804"/>
      <c r="S4" s="804"/>
    </row>
    <row r="5" spans="1:19" ht="15" hidden="1" outlineLevel="1">
      <c r="A5" s="804" t="s">
        <v>6</v>
      </c>
      <c r="B5" s="804"/>
      <c r="C5" s="804"/>
      <c r="D5" s="804"/>
      <c r="E5" s="804"/>
      <c r="F5" s="804"/>
      <c r="G5" s="804"/>
      <c r="K5" s="804" t="s">
        <v>7</v>
      </c>
      <c r="L5" s="804"/>
      <c r="M5" s="804"/>
      <c r="N5" s="804"/>
      <c r="O5" s="804"/>
      <c r="P5" s="804"/>
      <c r="Q5" s="804"/>
      <c r="R5" s="804"/>
      <c r="S5" s="804"/>
    </row>
    <row r="6" spans="1:19" ht="30" customHeight="1" hidden="1" outlineLevel="1">
      <c r="A6" s="804" t="s">
        <v>8</v>
      </c>
      <c r="B6" s="804"/>
      <c r="C6" s="804"/>
      <c r="D6" s="804"/>
      <c r="E6" s="804"/>
      <c r="F6" s="804"/>
      <c r="G6" s="804"/>
      <c r="K6" s="804" t="s">
        <v>8</v>
      </c>
      <c r="L6" s="804"/>
      <c r="M6" s="804"/>
      <c r="N6" s="804"/>
      <c r="O6" s="804"/>
      <c r="P6" s="804"/>
      <c r="Q6" s="804"/>
      <c r="R6" s="804"/>
      <c r="S6" s="804"/>
    </row>
    <row r="7" spans="1:19" ht="30" customHeight="1" hidden="1" outlineLevel="1">
      <c r="A7" s="804" t="s">
        <v>9</v>
      </c>
      <c r="B7" s="804"/>
      <c r="C7" s="804"/>
      <c r="D7" s="804"/>
      <c r="E7" s="804"/>
      <c r="F7" s="804"/>
      <c r="G7" s="804"/>
      <c r="K7" s="804" t="s">
        <v>9</v>
      </c>
      <c r="L7" s="804"/>
      <c r="M7" s="804"/>
      <c r="N7" s="804"/>
      <c r="O7" s="804"/>
      <c r="P7" s="804"/>
      <c r="Q7" s="804"/>
      <c r="R7" s="804"/>
      <c r="S7" s="804"/>
    </row>
    <row r="8" ht="13.5" hidden="1" outlineLevel="1"/>
    <row r="9" spans="1:19" ht="18" collapsed="1">
      <c r="A9" s="790" t="s">
        <v>10</v>
      </c>
      <c r="B9" s="790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</row>
    <row r="10" spans="1:19" ht="22.5">
      <c r="A10" s="791" t="str">
        <f>'15 (ЭЭ)'!A4</f>
        <v>ОАО "Электротехнический комплекс"</v>
      </c>
      <c r="B10" s="791"/>
      <c r="C10" s="791"/>
      <c r="D10" s="791"/>
      <c r="E10" s="791"/>
      <c r="F10" s="791"/>
      <c r="G10" s="791"/>
      <c r="H10" s="791"/>
      <c r="I10" s="791"/>
      <c r="J10" s="791"/>
      <c r="K10" s="791"/>
      <c r="L10" s="791"/>
      <c r="M10" s="791"/>
      <c r="N10" s="791"/>
      <c r="O10" s="791"/>
      <c r="P10" s="791"/>
      <c r="Q10" s="791"/>
      <c r="R10" s="791"/>
      <c r="S10" s="791"/>
    </row>
    <row r="11" spans="18:19" ht="14.25" thickBot="1">
      <c r="R11" s="792" t="s">
        <v>11</v>
      </c>
      <c r="S11" s="792"/>
    </row>
    <row r="12" spans="1:19" s="4" customFormat="1" ht="30" customHeight="1">
      <c r="A12" s="793" t="s">
        <v>12</v>
      </c>
      <c r="B12" s="795" t="s">
        <v>13</v>
      </c>
      <c r="C12" s="796"/>
      <c r="D12" s="796"/>
      <c r="E12" s="799" t="s">
        <v>435</v>
      </c>
      <c r="F12" s="800"/>
      <c r="G12" s="800"/>
      <c r="H12" s="800"/>
      <c r="I12" s="801"/>
      <c r="J12" s="800" t="s">
        <v>14</v>
      </c>
      <c r="K12" s="800"/>
      <c r="L12" s="800"/>
      <c r="M12" s="800"/>
      <c r="N12" s="800"/>
      <c r="O12" s="799" t="s">
        <v>436</v>
      </c>
      <c r="P12" s="800"/>
      <c r="Q12" s="800"/>
      <c r="R12" s="800"/>
      <c r="S12" s="801"/>
    </row>
    <row r="13" spans="1:19" s="4" customFormat="1" ht="27">
      <c r="A13" s="794"/>
      <c r="B13" s="797"/>
      <c r="C13" s="798"/>
      <c r="D13" s="798"/>
      <c r="E13" s="5" t="s">
        <v>15</v>
      </c>
      <c r="F13" s="6" t="s">
        <v>16</v>
      </c>
      <c r="G13" s="6" t="s">
        <v>17</v>
      </c>
      <c r="H13" s="6" t="s">
        <v>18</v>
      </c>
      <c r="I13" s="7" t="s">
        <v>19</v>
      </c>
      <c r="J13" s="8" t="s">
        <v>15</v>
      </c>
      <c r="K13" s="6" t="s">
        <v>16</v>
      </c>
      <c r="L13" s="6" t="s">
        <v>17</v>
      </c>
      <c r="M13" s="6" t="s">
        <v>18</v>
      </c>
      <c r="N13" s="9" t="s">
        <v>19</v>
      </c>
      <c r="O13" s="5" t="s">
        <v>15</v>
      </c>
      <c r="P13" s="6" t="s">
        <v>16</v>
      </c>
      <c r="Q13" s="6" t="s">
        <v>17</v>
      </c>
      <c r="R13" s="6" t="s">
        <v>18</v>
      </c>
      <c r="S13" s="7" t="s">
        <v>19</v>
      </c>
    </row>
    <row r="14" spans="1:19" s="15" customFormat="1" ht="14.25" thickBot="1">
      <c r="A14" s="10">
        <v>1</v>
      </c>
      <c r="B14" s="802">
        <v>2</v>
      </c>
      <c r="C14" s="803"/>
      <c r="D14" s="803"/>
      <c r="E14" s="10">
        <v>3</v>
      </c>
      <c r="F14" s="11">
        <v>4</v>
      </c>
      <c r="G14" s="11">
        <v>5</v>
      </c>
      <c r="H14" s="11">
        <v>6</v>
      </c>
      <c r="I14" s="12">
        <v>7</v>
      </c>
      <c r="J14" s="13">
        <v>8</v>
      </c>
      <c r="K14" s="11">
        <v>9</v>
      </c>
      <c r="L14" s="11">
        <v>10</v>
      </c>
      <c r="M14" s="11">
        <v>11</v>
      </c>
      <c r="N14" s="14">
        <v>12</v>
      </c>
      <c r="O14" s="10">
        <v>8</v>
      </c>
      <c r="P14" s="11">
        <v>9</v>
      </c>
      <c r="Q14" s="11">
        <v>10</v>
      </c>
      <c r="R14" s="11">
        <v>11</v>
      </c>
      <c r="S14" s="12">
        <v>12</v>
      </c>
    </row>
    <row r="15" spans="1:19" ht="13.5">
      <c r="A15" s="16">
        <v>1</v>
      </c>
      <c r="B15" s="17"/>
      <c r="C15" s="18" t="s">
        <v>20</v>
      </c>
      <c r="D15" s="19"/>
      <c r="E15" s="708">
        <f>E23</f>
        <v>419.9224</v>
      </c>
      <c r="F15" s="709">
        <f>F23</f>
        <v>353.4074</v>
      </c>
      <c r="G15" s="709"/>
      <c r="H15" s="709">
        <f>H16+H23</f>
        <v>87.5474</v>
      </c>
      <c r="I15" s="710">
        <f>I16</f>
        <v>5.037000000000001</v>
      </c>
      <c r="J15" s="708">
        <f>J23</f>
        <v>420.46999999999997</v>
      </c>
      <c r="K15" s="709">
        <f>K23</f>
        <v>352.90999999999997</v>
      </c>
      <c r="L15" s="709"/>
      <c r="M15" s="709">
        <f>M16+M23</f>
        <v>90.16999999999999</v>
      </c>
      <c r="N15" s="710">
        <f>N16</f>
        <v>2.9200000000000004</v>
      </c>
      <c r="O15" s="708">
        <f>O23</f>
        <v>422.70529999999997</v>
      </c>
      <c r="P15" s="709">
        <f>P23</f>
        <v>355.67729999999995</v>
      </c>
      <c r="Q15" s="711"/>
      <c r="R15" s="709">
        <f>R16+R23</f>
        <v>89.7505</v>
      </c>
      <c r="S15" s="710">
        <f>S16</f>
        <v>5.1755</v>
      </c>
    </row>
    <row r="16" spans="1:19" ht="13.5">
      <c r="A16" s="20" t="s">
        <v>21</v>
      </c>
      <c r="B16" s="21"/>
      <c r="C16" s="22" t="s">
        <v>22</v>
      </c>
      <c r="D16" s="23"/>
      <c r="E16" s="712"/>
      <c r="F16" s="713"/>
      <c r="G16" s="713"/>
      <c r="H16" s="713">
        <f>H18</f>
        <v>21.032399999999996</v>
      </c>
      <c r="I16" s="714">
        <f>I20</f>
        <v>5.037000000000001</v>
      </c>
      <c r="J16" s="712"/>
      <c r="K16" s="713"/>
      <c r="L16" s="713"/>
      <c r="M16" s="713">
        <f>M18</f>
        <v>22.609999999999985</v>
      </c>
      <c r="N16" s="714">
        <f>N20</f>
        <v>2.9200000000000004</v>
      </c>
      <c r="O16" s="712"/>
      <c r="P16" s="713"/>
      <c r="Q16" s="715"/>
      <c r="R16" s="713">
        <f>R18</f>
        <v>22.721500000000006</v>
      </c>
      <c r="S16" s="714">
        <f>S20</f>
        <v>5.1755</v>
      </c>
    </row>
    <row r="17" spans="1:19" ht="13.5">
      <c r="A17" s="20"/>
      <c r="B17" s="21"/>
      <c r="C17" s="22" t="s">
        <v>23</v>
      </c>
      <c r="D17" s="23"/>
      <c r="E17" s="712"/>
      <c r="F17" s="713"/>
      <c r="G17" s="713"/>
      <c r="H17" s="713"/>
      <c r="I17" s="714"/>
      <c r="J17" s="712"/>
      <c r="K17" s="713"/>
      <c r="L17" s="713"/>
      <c r="M17" s="713"/>
      <c r="N17" s="714"/>
      <c r="O17" s="712"/>
      <c r="P17" s="713"/>
      <c r="Q17" s="715"/>
      <c r="R17" s="713"/>
      <c r="S17" s="714"/>
    </row>
    <row r="18" spans="1:19" ht="13.5">
      <c r="A18" s="20"/>
      <c r="B18" s="21"/>
      <c r="C18" s="22" t="s">
        <v>16</v>
      </c>
      <c r="D18" s="23"/>
      <c r="E18" s="712"/>
      <c r="F18" s="713"/>
      <c r="G18" s="713"/>
      <c r="H18" s="713">
        <f>H34+H27+H24-H23</f>
        <v>21.032399999999996</v>
      </c>
      <c r="I18" s="714"/>
      <c r="J18" s="712"/>
      <c r="K18" s="713"/>
      <c r="L18" s="713"/>
      <c r="M18" s="713">
        <f>M34+M27+M24-M23</f>
        <v>22.609999999999985</v>
      </c>
      <c r="N18" s="714"/>
      <c r="O18" s="712"/>
      <c r="P18" s="713"/>
      <c r="Q18" s="715"/>
      <c r="R18" s="713">
        <f>R34+R27+R24-R23</f>
        <v>22.721500000000006</v>
      </c>
      <c r="S18" s="714"/>
    </row>
    <row r="19" spans="1:19" ht="13.5">
      <c r="A19" s="20"/>
      <c r="B19" s="21"/>
      <c r="C19" s="22" t="s">
        <v>17</v>
      </c>
      <c r="D19" s="23"/>
      <c r="E19" s="712"/>
      <c r="F19" s="713"/>
      <c r="G19" s="713"/>
      <c r="H19" s="713"/>
      <c r="I19" s="714"/>
      <c r="J19" s="712"/>
      <c r="K19" s="713"/>
      <c r="L19" s="713"/>
      <c r="M19" s="713"/>
      <c r="N19" s="714"/>
      <c r="O19" s="712"/>
      <c r="P19" s="713"/>
      <c r="Q19" s="715"/>
      <c r="R19" s="713"/>
      <c r="S19" s="714"/>
    </row>
    <row r="20" spans="1:19" ht="13.5">
      <c r="A20" s="20"/>
      <c r="B20" s="21"/>
      <c r="C20" s="22" t="s">
        <v>18</v>
      </c>
      <c r="D20" s="23"/>
      <c r="E20" s="712"/>
      <c r="F20" s="713"/>
      <c r="G20" s="713"/>
      <c r="H20" s="713"/>
      <c r="I20" s="714">
        <f>I24+I26+I27</f>
        <v>5.037000000000001</v>
      </c>
      <c r="J20" s="712"/>
      <c r="K20" s="713"/>
      <c r="L20" s="713"/>
      <c r="M20" s="713"/>
      <c r="N20" s="714">
        <f>N24+N26+N27</f>
        <v>2.9200000000000004</v>
      </c>
      <c r="O20" s="712"/>
      <c r="P20" s="713"/>
      <c r="Q20" s="715"/>
      <c r="R20" s="713"/>
      <c r="S20" s="714">
        <f>S24+S26+S27</f>
        <v>5.1755</v>
      </c>
    </row>
    <row r="21" spans="1:19" ht="13.5">
      <c r="A21" s="20" t="s">
        <v>24</v>
      </c>
      <c r="B21" s="21"/>
      <c r="C21" s="22" t="s">
        <v>25</v>
      </c>
      <c r="D21" s="23"/>
      <c r="E21" s="712"/>
      <c r="F21" s="713"/>
      <c r="G21" s="713"/>
      <c r="H21" s="713"/>
      <c r="I21" s="714"/>
      <c r="J21" s="712"/>
      <c r="K21" s="713"/>
      <c r="L21" s="713"/>
      <c r="M21" s="713"/>
      <c r="N21" s="714"/>
      <c r="O21" s="712"/>
      <c r="P21" s="713"/>
      <c r="Q21" s="715"/>
      <c r="R21" s="713"/>
      <c r="S21" s="714"/>
    </row>
    <row r="22" spans="1:19" ht="13.5">
      <c r="A22" s="24" t="s">
        <v>26</v>
      </c>
      <c r="B22" s="21"/>
      <c r="C22" s="22" t="s">
        <v>27</v>
      </c>
      <c r="D22" s="23"/>
      <c r="E22" s="712"/>
      <c r="F22" s="713"/>
      <c r="G22" s="713"/>
      <c r="H22" s="713"/>
      <c r="I22" s="714"/>
      <c r="J22" s="712"/>
      <c r="K22" s="713"/>
      <c r="L22" s="713"/>
      <c r="M22" s="713"/>
      <c r="N22" s="714"/>
      <c r="O22" s="712"/>
      <c r="P22" s="713"/>
      <c r="Q22" s="715"/>
      <c r="R22" s="713"/>
      <c r="S22" s="714"/>
    </row>
    <row r="23" spans="1:19" ht="13.5">
      <c r="A23" s="24" t="s">
        <v>28</v>
      </c>
      <c r="B23" s="21"/>
      <c r="C23" s="22" t="s">
        <v>29</v>
      </c>
      <c r="D23" s="23"/>
      <c r="E23" s="712">
        <f>F23+H23</f>
        <v>419.9224</v>
      </c>
      <c r="F23" s="713">
        <f>F34+F27+F24</f>
        <v>353.4074</v>
      </c>
      <c r="G23" s="713"/>
      <c r="H23" s="713">
        <v>66.515</v>
      </c>
      <c r="I23" s="714"/>
      <c r="J23" s="712">
        <f>K23+M23</f>
        <v>420.46999999999997</v>
      </c>
      <c r="K23" s="713">
        <f>K24+K27+K34</f>
        <v>352.90999999999997</v>
      </c>
      <c r="L23" s="713"/>
      <c r="M23" s="713">
        <v>67.56</v>
      </c>
      <c r="N23" s="714"/>
      <c r="O23" s="712">
        <f>P23+R23-0.001</f>
        <v>422.70529999999997</v>
      </c>
      <c r="P23" s="713">
        <f>P24+P27+P34+0.001</f>
        <v>355.67729999999995</v>
      </c>
      <c r="Q23" s="715"/>
      <c r="R23" s="713">
        <v>67.029</v>
      </c>
      <c r="S23" s="714"/>
    </row>
    <row r="24" spans="1:19" ht="13.5">
      <c r="A24" s="20" t="s">
        <v>30</v>
      </c>
      <c r="B24" s="21"/>
      <c r="C24" s="22" t="s">
        <v>31</v>
      </c>
      <c r="D24" s="23"/>
      <c r="E24" s="712">
        <f>SUM(F24:I24)</f>
        <v>6.8834</v>
      </c>
      <c r="F24" s="713">
        <v>4.105</v>
      </c>
      <c r="G24" s="713"/>
      <c r="H24" s="713">
        <v>2.7274</v>
      </c>
      <c r="I24" s="714">
        <v>0.051</v>
      </c>
      <c r="J24" s="712">
        <f>K24+M24+N24</f>
        <v>7.8999999999999995</v>
      </c>
      <c r="K24" s="713">
        <v>4.71</v>
      </c>
      <c r="L24" s="713"/>
      <c r="M24" s="713">
        <v>3.13</v>
      </c>
      <c r="N24" s="714">
        <v>0.06</v>
      </c>
      <c r="O24" s="712">
        <f>P24+R24+S24-0.001</f>
        <v>7.914499999999999</v>
      </c>
      <c r="P24" s="713">
        <v>4.685</v>
      </c>
      <c r="Q24" s="715"/>
      <c r="R24" s="713">
        <v>3.165</v>
      </c>
      <c r="S24" s="714">
        <v>0.0655</v>
      </c>
    </row>
    <row r="25" spans="1:19" ht="13.5">
      <c r="A25" s="20"/>
      <c r="B25" s="21"/>
      <c r="C25" s="22" t="s">
        <v>32</v>
      </c>
      <c r="D25" s="23"/>
      <c r="E25" s="25">
        <f>E24/E15</f>
        <v>0.016392076250278623</v>
      </c>
      <c r="F25" s="26">
        <f>F24/F15</f>
        <v>0.011615489658677211</v>
      </c>
      <c r="G25" s="26"/>
      <c r="H25" s="26">
        <f>H24/H15</f>
        <v>0.031153409467328554</v>
      </c>
      <c r="I25" s="27">
        <f>I24/I15</f>
        <v>0.010125074449076829</v>
      </c>
      <c r="J25" s="25">
        <f>J24/J15</f>
        <v>0.01878849858491688</v>
      </c>
      <c r="K25" s="26">
        <f>K24/K15</f>
        <v>0.013346178912470603</v>
      </c>
      <c r="L25" s="26"/>
      <c r="M25" s="26">
        <f>M24/M15</f>
        <v>0.034712210269490965</v>
      </c>
      <c r="N25" s="27">
        <f>N24/N15</f>
        <v>0.020547945205479447</v>
      </c>
      <c r="O25" s="25">
        <f>O24/O15</f>
        <v>0.01872344633483422</v>
      </c>
      <c r="P25" s="26">
        <f>P24/P15</f>
        <v>0.01317205230696477</v>
      </c>
      <c r="Q25" s="28"/>
      <c r="R25" s="26">
        <f>R24/R15</f>
        <v>0.035264427496225645</v>
      </c>
      <c r="S25" s="27">
        <f>S24/S15</f>
        <v>0.012655782050043474</v>
      </c>
    </row>
    <row r="26" spans="1:19" ht="27">
      <c r="A26" s="24" t="s">
        <v>33</v>
      </c>
      <c r="B26" s="21"/>
      <c r="C26" s="22" t="s">
        <v>34</v>
      </c>
      <c r="D26" s="23"/>
      <c r="E26" s="712">
        <f>I26</f>
        <v>0.16</v>
      </c>
      <c r="F26" s="713"/>
      <c r="G26" s="713"/>
      <c r="H26" s="713"/>
      <c r="I26" s="714">
        <v>0.16</v>
      </c>
      <c r="J26" s="712">
        <f>N26</f>
        <v>0.14</v>
      </c>
      <c r="K26" s="713"/>
      <c r="L26" s="713"/>
      <c r="M26" s="713"/>
      <c r="N26" s="714">
        <v>0.14</v>
      </c>
      <c r="O26" s="712">
        <f>S26</f>
        <v>0.16</v>
      </c>
      <c r="P26" s="713"/>
      <c r="Q26" s="715"/>
      <c r="R26" s="713"/>
      <c r="S26" s="714">
        <v>0.16</v>
      </c>
    </row>
    <row r="27" spans="1:19" ht="13.5">
      <c r="A27" s="20" t="s">
        <v>35</v>
      </c>
      <c r="B27" s="21"/>
      <c r="C27" s="22" t="s">
        <v>36</v>
      </c>
      <c r="D27" s="23"/>
      <c r="E27" s="712">
        <f>F27+H27+I27</f>
        <v>412.879</v>
      </c>
      <c r="F27" s="713">
        <f>F28+F33</f>
        <v>328.27</v>
      </c>
      <c r="G27" s="713"/>
      <c r="H27" s="713">
        <f>H28+H33</f>
        <v>79.78299999999999</v>
      </c>
      <c r="I27" s="714">
        <f>I28+I33</f>
        <v>4.8260000000000005</v>
      </c>
      <c r="J27" s="712">
        <f>K27+M27+N27</f>
        <v>412.43</v>
      </c>
      <c r="K27" s="713">
        <f>K28+K33</f>
        <v>325.59</v>
      </c>
      <c r="L27" s="713"/>
      <c r="M27" s="713">
        <f>M28+M33</f>
        <v>84.11999999999999</v>
      </c>
      <c r="N27" s="714">
        <f>N28+N33</f>
        <v>2.72</v>
      </c>
      <c r="O27" s="712">
        <f>P27+R27+S27</f>
        <v>414.6298</v>
      </c>
      <c r="P27" s="713">
        <f>P28+P33+0.001</f>
        <v>328.2698</v>
      </c>
      <c r="Q27" s="715"/>
      <c r="R27" s="713">
        <f>R28+R33</f>
        <v>81.41</v>
      </c>
      <c r="S27" s="714">
        <f>S28+S33</f>
        <v>4.95</v>
      </c>
    </row>
    <row r="28" spans="1:19" ht="15" customHeight="1">
      <c r="A28" s="29"/>
      <c r="B28" s="30"/>
      <c r="C28" s="31" t="s">
        <v>37</v>
      </c>
      <c r="D28" s="32"/>
      <c r="E28" s="780">
        <f>F28+H28+I28</f>
        <v>265.936</v>
      </c>
      <c r="F28" s="784">
        <v>193.978</v>
      </c>
      <c r="G28" s="784"/>
      <c r="H28" s="784">
        <v>68.597</v>
      </c>
      <c r="I28" s="788">
        <v>3.361</v>
      </c>
      <c r="J28" s="780">
        <f>K28+M28+N28</f>
        <v>279.45000000000005</v>
      </c>
      <c r="K28" s="784">
        <v>202.88</v>
      </c>
      <c r="L28" s="784"/>
      <c r="M28" s="784">
        <v>73.85</v>
      </c>
      <c r="N28" s="788">
        <v>2.72</v>
      </c>
      <c r="O28" s="780">
        <f>P28+R28+S28+0.002</f>
        <v>267.2889</v>
      </c>
      <c r="P28" s="784">
        <v>193.9764</v>
      </c>
      <c r="Q28" s="786"/>
      <c r="R28" s="784">
        <v>69.825</v>
      </c>
      <c r="S28" s="788">
        <v>3.4855</v>
      </c>
    </row>
    <row r="29" spans="1:19" ht="15" customHeight="1">
      <c r="A29" s="33" t="s">
        <v>38</v>
      </c>
      <c r="B29" s="34"/>
      <c r="C29" s="35" t="s">
        <v>39</v>
      </c>
      <c r="D29" s="36"/>
      <c r="E29" s="781"/>
      <c r="F29" s="785"/>
      <c r="G29" s="785"/>
      <c r="H29" s="785"/>
      <c r="I29" s="789"/>
      <c r="J29" s="781"/>
      <c r="K29" s="785"/>
      <c r="L29" s="785"/>
      <c r="M29" s="785"/>
      <c r="N29" s="789"/>
      <c r="O29" s="781"/>
      <c r="P29" s="785"/>
      <c r="Q29" s="787"/>
      <c r="R29" s="785"/>
      <c r="S29" s="789"/>
    </row>
    <row r="30" spans="1:19" ht="15" customHeight="1" hidden="1" outlineLevel="1">
      <c r="A30" s="20"/>
      <c r="B30" s="21"/>
      <c r="C30" s="22" t="s">
        <v>40</v>
      </c>
      <c r="D30" s="23"/>
      <c r="E30" s="712"/>
      <c r="F30" s="713"/>
      <c r="G30" s="713"/>
      <c r="H30" s="713"/>
      <c r="I30" s="714"/>
      <c r="J30" s="780">
        <f>K30+M30+N30</f>
        <v>0</v>
      </c>
      <c r="K30" s="713"/>
      <c r="L30" s="713"/>
      <c r="M30" s="713"/>
      <c r="N30" s="714"/>
      <c r="O30" s="780">
        <f>P30+R30+S30</f>
        <v>0</v>
      </c>
      <c r="P30" s="713"/>
      <c r="Q30" s="715"/>
      <c r="R30" s="713"/>
      <c r="S30" s="716"/>
    </row>
    <row r="31" spans="1:19" ht="30" customHeight="1" hidden="1" outlineLevel="1">
      <c r="A31" s="24"/>
      <c r="B31" s="21"/>
      <c r="C31" s="22" t="s">
        <v>41</v>
      </c>
      <c r="D31" s="23"/>
      <c r="E31" s="712"/>
      <c r="F31" s="713"/>
      <c r="G31" s="713"/>
      <c r="H31" s="713"/>
      <c r="I31" s="714"/>
      <c r="J31" s="781"/>
      <c r="K31" s="713"/>
      <c r="L31" s="713"/>
      <c r="M31" s="713"/>
      <c r="N31" s="714"/>
      <c r="O31" s="781"/>
      <c r="P31" s="713"/>
      <c r="Q31" s="715"/>
      <c r="R31" s="713"/>
      <c r="S31" s="716"/>
    </row>
    <row r="32" spans="1:19" ht="15" customHeight="1" hidden="1" outlineLevel="1">
      <c r="A32" s="20"/>
      <c r="B32" s="21"/>
      <c r="C32" s="22" t="s">
        <v>42</v>
      </c>
      <c r="D32" s="23"/>
      <c r="E32" s="712"/>
      <c r="F32" s="713"/>
      <c r="G32" s="713"/>
      <c r="H32" s="713"/>
      <c r="I32" s="714"/>
      <c r="J32" s="780">
        <f>K33+M33+N33</f>
        <v>132.98</v>
      </c>
      <c r="K32" s="713"/>
      <c r="L32" s="713"/>
      <c r="M32" s="713"/>
      <c r="N32" s="714"/>
      <c r="O32" s="780">
        <f>P33+R33+S33-0.001</f>
        <v>147.34089999999998</v>
      </c>
      <c r="P32" s="713"/>
      <c r="Q32" s="715"/>
      <c r="R32" s="713"/>
      <c r="S32" s="716"/>
    </row>
    <row r="33" spans="1:19" ht="13.5" collapsed="1">
      <c r="A33" s="20" t="s">
        <v>43</v>
      </c>
      <c r="B33" s="21"/>
      <c r="C33" s="22" t="s">
        <v>44</v>
      </c>
      <c r="D33" s="23"/>
      <c r="E33" s="712">
        <f>F33+H33</f>
        <v>145.478</v>
      </c>
      <c r="F33" s="713">
        <v>134.292</v>
      </c>
      <c r="G33" s="713"/>
      <c r="H33" s="713">
        <v>11.186</v>
      </c>
      <c r="I33" s="714">
        <v>1.465</v>
      </c>
      <c r="J33" s="781"/>
      <c r="K33" s="713">
        <v>122.71</v>
      </c>
      <c r="L33" s="713"/>
      <c r="M33" s="713">
        <v>10.27</v>
      </c>
      <c r="N33" s="714"/>
      <c r="O33" s="781"/>
      <c r="P33" s="713">
        <v>134.2924</v>
      </c>
      <c r="Q33" s="715"/>
      <c r="R33" s="713">
        <v>11.585</v>
      </c>
      <c r="S33" s="714">
        <v>1.4645</v>
      </c>
    </row>
    <row r="34" spans="1:19" ht="14.25" thickBot="1">
      <c r="A34" s="37" t="s">
        <v>45</v>
      </c>
      <c r="B34" s="38"/>
      <c r="C34" s="39" t="s">
        <v>46</v>
      </c>
      <c r="D34" s="40"/>
      <c r="E34" s="717"/>
      <c r="F34" s="718">
        <f>H18</f>
        <v>21.032399999999996</v>
      </c>
      <c r="G34" s="718"/>
      <c r="H34" s="718">
        <f>I20</f>
        <v>5.037000000000001</v>
      </c>
      <c r="I34" s="719"/>
      <c r="J34" s="717"/>
      <c r="K34" s="718">
        <f>M18</f>
        <v>22.609999999999985</v>
      </c>
      <c r="L34" s="718"/>
      <c r="M34" s="718">
        <f>N20</f>
        <v>2.9200000000000004</v>
      </c>
      <c r="N34" s="719"/>
      <c r="O34" s="720"/>
      <c r="P34" s="718">
        <f>R18</f>
        <v>22.721500000000006</v>
      </c>
      <c r="Q34" s="721"/>
      <c r="R34" s="718">
        <f>S20</f>
        <v>5.1755</v>
      </c>
      <c r="S34" s="722"/>
    </row>
    <row r="36" spans="1:19" ht="26.25" customHeight="1">
      <c r="A36" s="782" t="str">
        <f>6!A36:H36</f>
        <v>Начальник ПЭО</v>
      </c>
      <c r="B36" s="782"/>
      <c r="C36" s="782"/>
      <c r="D36" s="782"/>
      <c r="E36" s="782"/>
      <c r="F36" s="782"/>
      <c r="G36" s="782"/>
      <c r="H36" s="782"/>
      <c r="I36" s="782"/>
      <c r="J36" s="783" t="str">
        <f>6!I36</f>
        <v>М.С. Мироненко</v>
      </c>
      <c r="K36" s="783"/>
      <c r="L36" s="783"/>
      <c r="M36" s="783"/>
      <c r="N36" s="783"/>
      <c r="O36" s="783"/>
      <c r="P36" s="783"/>
      <c r="Q36" s="783"/>
      <c r="R36" s="783"/>
      <c r="S36" s="783"/>
    </row>
    <row r="38" ht="13.5">
      <c r="E38" s="746"/>
    </row>
  </sheetData>
  <sheetProtection/>
  <mergeCells count="43">
    <mergeCell ref="A4:G4"/>
    <mergeCell ref="K4:S4"/>
    <mergeCell ref="P1:S1"/>
    <mergeCell ref="A2:G2"/>
    <mergeCell ref="K2:S2"/>
    <mergeCell ref="A3:G3"/>
    <mergeCell ref="K3:S3"/>
    <mergeCell ref="A5:G5"/>
    <mergeCell ref="K5:S5"/>
    <mergeCell ref="A6:G6"/>
    <mergeCell ref="K6:S6"/>
    <mergeCell ref="A7:G7"/>
    <mergeCell ref="K7:S7"/>
    <mergeCell ref="I28:I29"/>
    <mergeCell ref="A9:S9"/>
    <mergeCell ref="A10:S10"/>
    <mergeCell ref="R11:S11"/>
    <mergeCell ref="A12:A13"/>
    <mergeCell ref="B12:D13"/>
    <mergeCell ref="E12:I12"/>
    <mergeCell ref="J12:N12"/>
    <mergeCell ref="O12:S12"/>
    <mergeCell ref="B14:D14"/>
    <mergeCell ref="E28:E29"/>
    <mergeCell ref="F28:F29"/>
    <mergeCell ref="G28:G29"/>
    <mergeCell ref="H28:H29"/>
    <mergeCell ref="J32:J33"/>
    <mergeCell ref="O32:O33"/>
    <mergeCell ref="A36:I36"/>
    <mergeCell ref="J36:S36"/>
    <mergeCell ref="P28:P29"/>
    <mergeCell ref="Q28:Q29"/>
    <mergeCell ref="R28:R29"/>
    <mergeCell ref="S28:S29"/>
    <mergeCell ref="J30:J31"/>
    <mergeCell ref="O30:O31"/>
    <mergeCell ref="J28:J29"/>
    <mergeCell ref="K28:K29"/>
    <mergeCell ref="L28:L29"/>
    <mergeCell ref="M28:M29"/>
    <mergeCell ref="N28:N29"/>
    <mergeCell ref="O28:O29"/>
  </mergeCells>
  <printOptions horizontalCentered="1"/>
  <pageMargins left="0.41" right="0.31496062992125984" top="0.33" bottom="0.73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30"/>
  <sheetViews>
    <sheetView view="pageBreakPreview" zoomScale="115" zoomScaleSheetLayoutView="115" zoomScalePageLayoutView="0" workbookViewId="0" topLeftCell="A1">
      <selection activeCell="A9" sqref="A9:S9"/>
    </sheetView>
  </sheetViews>
  <sheetFormatPr defaultColWidth="9.125" defaultRowHeight="12.75" outlineLevelRow="1" outlineLevelCol="1"/>
  <cols>
    <col min="1" max="1" width="4.625" style="41" customWidth="1"/>
    <col min="2" max="2" width="0.5" style="41" customWidth="1"/>
    <col min="3" max="3" width="54.875" style="41" customWidth="1"/>
    <col min="4" max="4" width="0.5" style="41" hidden="1" customWidth="1"/>
    <col min="5" max="5" width="8.625" style="41" customWidth="1"/>
    <col min="6" max="6" width="6.50390625" style="41" bestFit="1" customWidth="1"/>
    <col min="7" max="7" width="6.00390625" style="41" customWidth="1"/>
    <col min="8" max="8" width="6.50390625" style="41" customWidth="1"/>
    <col min="9" max="9" width="6.25390625" style="41" bestFit="1" customWidth="1"/>
    <col min="10" max="10" width="6.125" style="41" hidden="1" customWidth="1" outlineLevel="1"/>
    <col min="11" max="11" width="5.50390625" style="41" hidden="1" customWidth="1" outlineLevel="1"/>
    <col min="12" max="12" width="5.125" style="41" hidden="1" customWidth="1" outlineLevel="1"/>
    <col min="13" max="13" width="6.375" style="41" hidden="1" customWidth="1" outlineLevel="1"/>
    <col min="14" max="14" width="6.625" style="41" hidden="1" customWidth="1" outlineLevel="1"/>
    <col min="15" max="15" width="6.50390625" style="41" bestFit="1" customWidth="1" collapsed="1"/>
    <col min="16" max="16" width="6.50390625" style="41" bestFit="1" customWidth="1"/>
    <col min="17" max="17" width="5.125" style="41" customWidth="1"/>
    <col min="18" max="18" width="6.625" style="41" bestFit="1" customWidth="1"/>
    <col min="19" max="19" width="6.125" style="41" customWidth="1"/>
    <col min="20" max="16384" width="9.125" style="41" customWidth="1"/>
  </cols>
  <sheetData>
    <row r="1" spans="17:19" ht="30" customHeight="1">
      <c r="Q1" s="824" t="s">
        <v>47</v>
      </c>
      <c r="R1" s="824"/>
      <c r="S1" s="824"/>
    </row>
    <row r="2" spans="1:19" ht="15" hidden="1" outlineLevel="1">
      <c r="A2" s="806" t="s">
        <v>1</v>
      </c>
      <c r="B2" s="806"/>
      <c r="C2" s="806"/>
      <c r="D2" s="806"/>
      <c r="E2" s="806"/>
      <c r="F2" s="806"/>
      <c r="G2" s="806"/>
      <c r="K2" s="806" t="s">
        <v>1</v>
      </c>
      <c r="L2" s="806"/>
      <c r="M2" s="806"/>
      <c r="N2" s="806"/>
      <c r="O2" s="806"/>
      <c r="P2" s="806"/>
      <c r="Q2" s="806"/>
      <c r="R2" s="806"/>
      <c r="S2" s="806"/>
    </row>
    <row r="3" spans="1:19" ht="15" hidden="1" outlineLevel="1">
      <c r="A3" s="804" t="s">
        <v>2</v>
      </c>
      <c r="B3" s="804"/>
      <c r="C3" s="804"/>
      <c r="D3" s="804"/>
      <c r="E3" s="804"/>
      <c r="F3" s="804"/>
      <c r="G3" s="804"/>
      <c r="K3" s="804" t="s">
        <v>3</v>
      </c>
      <c r="L3" s="804"/>
      <c r="M3" s="804"/>
      <c r="N3" s="804"/>
      <c r="O3" s="804"/>
      <c r="P3" s="804"/>
      <c r="Q3" s="804"/>
      <c r="R3" s="804"/>
      <c r="S3" s="804"/>
    </row>
    <row r="4" spans="1:19" ht="15" hidden="1" outlineLevel="1">
      <c r="A4" s="804" t="s">
        <v>4</v>
      </c>
      <c r="B4" s="804"/>
      <c r="C4" s="804"/>
      <c r="D4" s="804"/>
      <c r="E4" s="804"/>
      <c r="F4" s="804"/>
      <c r="G4" s="804"/>
      <c r="K4" s="804" t="s">
        <v>5</v>
      </c>
      <c r="L4" s="804"/>
      <c r="M4" s="804"/>
      <c r="N4" s="804"/>
      <c r="O4" s="804"/>
      <c r="P4" s="804"/>
      <c r="Q4" s="804"/>
      <c r="R4" s="804"/>
      <c r="S4" s="804"/>
    </row>
    <row r="5" spans="1:19" ht="15" hidden="1" outlineLevel="1">
      <c r="A5" s="804" t="s">
        <v>6</v>
      </c>
      <c r="B5" s="804"/>
      <c r="C5" s="804"/>
      <c r="D5" s="804"/>
      <c r="E5" s="804"/>
      <c r="F5" s="804"/>
      <c r="G5" s="804"/>
      <c r="K5" s="804" t="s">
        <v>7</v>
      </c>
      <c r="L5" s="804"/>
      <c r="M5" s="804"/>
      <c r="N5" s="804"/>
      <c r="O5" s="804"/>
      <c r="P5" s="804"/>
      <c r="Q5" s="804"/>
      <c r="R5" s="804"/>
      <c r="S5" s="804"/>
    </row>
    <row r="6" spans="1:19" ht="31.5" customHeight="1" hidden="1" outlineLevel="1">
      <c r="A6" s="804" t="s">
        <v>8</v>
      </c>
      <c r="B6" s="804"/>
      <c r="C6" s="804"/>
      <c r="D6" s="804"/>
      <c r="E6" s="804"/>
      <c r="F6" s="804"/>
      <c r="G6" s="804"/>
      <c r="K6" s="804" t="s">
        <v>8</v>
      </c>
      <c r="L6" s="804"/>
      <c r="M6" s="804"/>
      <c r="N6" s="804"/>
      <c r="O6" s="804"/>
      <c r="P6" s="804"/>
      <c r="Q6" s="804"/>
      <c r="R6" s="804"/>
      <c r="S6" s="804"/>
    </row>
    <row r="7" spans="1:19" ht="31.5" customHeight="1" hidden="1" outlineLevel="1">
      <c r="A7" s="804" t="s">
        <v>9</v>
      </c>
      <c r="B7" s="804"/>
      <c r="C7" s="804"/>
      <c r="D7" s="804"/>
      <c r="E7" s="804"/>
      <c r="F7" s="804"/>
      <c r="G7" s="804"/>
      <c r="K7" s="804" t="s">
        <v>9</v>
      </c>
      <c r="L7" s="804"/>
      <c r="M7" s="804"/>
      <c r="N7" s="804"/>
      <c r="O7" s="804"/>
      <c r="P7" s="804"/>
      <c r="Q7" s="804"/>
      <c r="R7" s="804"/>
      <c r="S7" s="804"/>
    </row>
    <row r="8" spans="1:7" ht="15" hidden="1" outlineLevel="1">
      <c r="A8" s="42"/>
      <c r="B8" s="42"/>
      <c r="C8" s="42"/>
      <c r="D8" s="42"/>
      <c r="E8" s="42"/>
      <c r="F8" s="42"/>
      <c r="G8" s="42"/>
    </row>
    <row r="9" spans="1:19" ht="16.5" collapsed="1">
      <c r="A9" s="811" t="s">
        <v>48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</row>
    <row r="10" spans="1:19" ht="16.5">
      <c r="A10" s="812" t="str">
        <f>4!A10:S10</f>
        <v>ОАО "Электротехнический комплекс"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</row>
    <row r="11" spans="18:19" ht="20.25" customHeight="1" thickBot="1">
      <c r="R11" s="813" t="s">
        <v>49</v>
      </c>
      <c r="S11" s="813"/>
    </row>
    <row r="12" spans="1:19" s="43" customFormat="1" ht="30" customHeight="1">
      <c r="A12" s="814" t="s">
        <v>12</v>
      </c>
      <c r="B12" s="816" t="s">
        <v>13</v>
      </c>
      <c r="C12" s="817"/>
      <c r="D12" s="817"/>
      <c r="E12" s="820" t="str">
        <f>4!E12:I12</f>
        <v>Отчетный период
2013 год</v>
      </c>
      <c r="F12" s="821"/>
      <c r="G12" s="821"/>
      <c r="H12" s="821"/>
      <c r="I12" s="822"/>
      <c r="J12" s="823" t="str">
        <f>4!J12:N12</f>
        <v>Базовый период
2013 год</v>
      </c>
      <c r="K12" s="821"/>
      <c r="L12" s="821"/>
      <c r="M12" s="821"/>
      <c r="N12" s="821"/>
      <c r="O12" s="820" t="str">
        <f>4!O12:S12</f>
        <v>Период регулирования
2015 год</v>
      </c>
      <c r="P12" s="821"/>
      <c r="Q12" s="821"/>
      <c r="R12" s="821"/>
      <c r="S12" s="822"/>
    </row>
    <row r="13" spans="1:19" s="43" customFormat="1" ht="13.5">
      <c r="A13" s="815"/>
      <c r="B13" s="818"/>
      <c r="C13" s="819"/>
      <c r="D13" s="819"/>
      <c r="E13" s="44" t="s">
        <v>15</v>
      </c>
      <c r="F13" s="45" t="s">
        <v>16</v>
      </c>
      <c r="G13" s="45" t="s">
        <v>17</v>
      </c>
      <c r="H13" s="45" t="s">
        <v>18</v>
      </c>
      <c r="I13" s="46" t="s">
        <v>19</v>
      </c>
      <c r="J13" s="47" t="s">
        <v>15</v>
      </c>
      <c r="K13" s="45" t="s">
        <v>16</v>
      </c>
      <c r="L13" s="45" t="s">
        <v>17</v>
      </c>
      <c r="M13" s="45" t="s">
        <v>18</v>
      </c>
      <c r="N13" s="48" t="s">
        <v>19</v>
      </c>
      <c r="O13" s="44" t="s">
        <v>15</v>
      </c>
      <c r="P13" s="45" t="s">
        <v>16</v>
      </c>
      <c r="Q13" s="45" t="s">
        <v>17</v>
      </c>
      <c r="R13" s="45" t="s">
        <v>18</v>
      </c>
      <c r="S13" s="46" t="s">
        <v>19</v>
      </c>
    </row>
    <row r="14" spans="1:19" s="54" customFormat="1" ht="14.25" thickBot="1">
      <c r="A14" s="49">
        <v>1</v>
      </c>
      <c r="B14" s="807">
        <v>2</v>
      </c>
      <c r="C14" s="808"/>
      <c r="D14" s="808"/>
      <c r="E14" s="49">
        <v>3</v>
      </c>
      <c r="F14" s="50">
        <v>4</v>
      </c>
      <c r="G14" s="50">
        <v>5</v>
      </c>
      <c r="H14" s="50">
        <v>6</v>
      </c>
      <c r="I14" s="51">
        <v>7</v>
      </c>
      <c r="J14" s="52">
        <v>8</v>
      </c>
      <c r="K14" s="50">
        <v>9</v>
      </c>
      <c r="L14" s="50">
        <v>10</v>
      </c>
      <c r="M14" s="50">
        <v>11</v>
      </c>
      <c r="N14" s="53">
        <v>12</v>
      </c>
      <c r="O14" s="49">
        <f>N14+1</f>
        <v>13</v>
      </c>
      <c r="P14" s="50">
        <f>O14+1</f>
        <v>14</v>
      </c>
      <c r="Q14" s="50">
        <f>P14+1</f>
        <v>15</v>
      </c>
      <c r="R14" s="50">
        <f>Q14+1</f>
        <v>16</v>
      </c>
      <c r="S14" s="51">
        <f>R14+1</f>
        <v>17</v>
      </c>
    </row>
    <row r="15" spans="1:19" ht="13.5">
      <c r="A15" s="55">
        <v>1</v>
      </c>
      <c r="B15" s="56"/>
      <c r="C15" s="57" t="s">
        <v>50</v>
      </c>
      <c r="D15" s="58"/>
      <c r="E15" s="723">
        <f>E19</f>
        <v>59.055</v>
      </c>
      <c r="F15" s="724">
        <f>F19</f>
        <v>50.433</v>
      </c>
      <c r="G15" s="724"/>
      <c r="H15" s="724">
        <f>H16+H19</f>
        <v>12.261999999999999</v>
      </c>
      <c r="I15" s="725">
        <f>I16</f>
        <v>0.8170000000000002</v>
      </c>
      <c r="J15" s="723">
        <f>J19</f>
        <v>61.96</v>
      </c>
      <c r="K15" s="724">
        <f>K19</f>
        <v>52.06</v>
      </c>
      <c r="L15" s="726"/>
      <c r="M15" s="724">
        <f>M16+M19</f>
        <v>12.76</v>
      </c>
      <c r="N15" s="725">
        <f>N16</f>
        <v>0.46</v>
      </c>
      <c r="O15" s="723">
        <f>O19</f>
        <v>59.858000000000004</v>
      </c>
      <c r="P15" s="724">
        <f>P19</f>
        <v>51.243</v>
      </c>
      <c r="Q15" s="726"/>
      <c r="R15" s="724">
        <f>R16+R19</f>
        <v>12.977</v>
      </c>
      <c r="S15" s="725">
        <f>S16</f>
        <v>0.821</v>
      </c>
    </row>
    <row r="16" spans="1:20" ht="13.5">
      <c r="A16" s="59" t="s">
        <v>21</v>
      </c>
      <c r="B16" s="60"/>
      <c r="C16" s="61" t="s">
        <v>51</v>
      </c>
      <c r="D16" s="62"/>
      <c r="E16" s="727"/>
      <c r="F16" s="728"/>
      <c r="G16" s="728"/>
      <c r="H16" s="728">
        <f>H23+H20+H26-H19</f>
        <v>3.639999999999999</v>
      </c>
      <c r="I16" s="729">
        <f>I20+I22+I23</f>
        <v>0.8170000000000002</v>
      </c>
      <c r="J16" s="727"/>
      <c r="K16" s="728"/>
      <c r="L16" s="730"/>
      <c r="M16" s="728">
        <f>M23+M20+M26-M19</f>
        <v>2.8599999999999994</v>
      </c>
      <c r="N16" s="729">
        <f>N20+N22+N23</f>
        <v>0.46</v>
      </c>
      <c r="O16" s="727"/>
      <c r="P16" s="728"/>
      <c r="Q16" s="730"/>
      <c r="R16" s="728">
        <f>R23+R20+R26-R19</f>
        <v>4.362</v>
      </c>
      <c r="S16" s="729">
        <f>S20+S22+S23</f>
        <v>0.821</v>
      </c>
      <c r="T16" s="63"/>
    </row>
    <row r="17" spans="1:19" ht="13.5">
      <c r="A17" s="59" t="s">
        <v>24</v>
      </c>
      <c r="B17" s="60"/>
      <c r="C17" s="61" t="s">
        <v>52</v>
      </c>
      <c r="D17" s="62"/>
      <c r="E17" s="727"/>
      <c r="F17" s="728"/>
      <c r="G17" s="728"/>
      <c r="H17" s="728"/>
      <c r="I17" s="729"/>
      <c r="J17" s="727"/>
      <c r="K17" s="728"/>
      <c r="L17" s="730"/>
      <c r="M17" s="728"/>
      <c r="N17" s="729"/>
      <c r="O17" s="727"/>
      <c r="P17" s="728"/>
      <c r="Q17" s="730"/>
      <c r="R17" s="728"/>
      <c r="S17" s="729"/>
    </row>
    <row r="18" spans="1:19" ht="13.5">
      <c r="A18" s="64" t="s">
        <v>26</v>
      </c>
      <c r="B18" s="60"/>
      <c r="C18" s="61" t="s">
        <v>53</v>
      </c>
      <c r="D18" s="62"/>
      <c r="E18" s="727"/>
      <c r="F18" s="728"/>
      <c r="G18" s="728"/>
      <c r="H18" s="728"/>
      <c r="I18" s="729"/>
      <c r="J18" s="727"/>
      <c r="K18" s="728"/>
      <c r="L18" s="730"/>
      <c r="M18" s="728"/>
      <c r="N18" s="729"/>
      <c r="O18" s="727"/>
      <c r="P18" s="728"/>
      <c r="Q18" s="730"/>
      <c r="R18" s="728"/>
      <c r="S18" s="729"/>
    </row>
    <row r="19" spans="1:19" ht="13.5">
      <c r="A19" s="59" t="s">
        <v>28</v>
      </c>
      <c r="B19" s="60"/>
      <c r="C19" s="61" t="s">
        <v>54</v>
      </c>
      <c r="D19" s="62"/>
      <c r="E19" s="727">
        <f>F19+H19</f>
        <v>59.055</v>
      </c>
      <c r="F19" s="728">
        <f>F20+F23+F26</f>
        <v>50.433</v>
      </c>
      <c r="G19" s="728"/>
      <c r="H19" s="728">
        <v>8.622</v>
      </c>
      <c r="I19" s="729"/>
      <c r="J19" s="727">
        <f>K19+M19</f>
        <v>61.96</v>
      </c>
      <c r="K19" s="728">
        <f>K20+K23+K26</f>
        <v>52.06</v>
      </c>
      <c r="L19" s="730"/>
      <c r="M19" s="728">
        <v>9.9</v>
      </c>
      <c r="N19" s="729"/>
      <c r="O19" s="727">
        <f>P19+R19</f>
        <v>59.858000000000004</v>
      </c>
      <c r="P19" s="728">
        <f>P20+P23+P26</f>
        <v>51.243</v>
      </c>
      <c r="Q19" s="730"/>
      <c r="R19" s="728">
        <v>8.615</v>
      </c>
      <c r="S19" s="729"/>
    </row>
    <row r="20" spans="1:19" ht="13.5">
      <c r="A20" s="59" t="s">
        <v>30</v>
      </c>
      <c r="B20" s="60"/>
      <c r="C20" s="61" t="s">
        <v>55</v>
      </c>
      <c r="D20" s="62"/>
      <c r="E20" s="727">
        <f>F20+H20+I20</f>
        <v>0.969</v>
      </c>
      <c r="F20" s="728">
        <v>0.583</v>
      </c>
      <c r="G20" s="728"/>
      <c r="H20" s="728">
        <v>0.379</v>
      </c>
      <c r="I20" s="729">
        <v>0.007</v>
      </c>
      <c r="J20" s="727">
        <f>K20+M20+N20</f>
        <v>1.21</v>
      </c>
      <c r="K20" s="728">
        <v>0.7</v>
      </c>
      <c r="L20" s="730"/>
      <c r="M20" s="728">
        <v>0.5</v>
      </c>
      <c r="N20" s="729">
        <v>0.01</v>
      </c>
      <c r="O20" s="727">
        <f>P20+R20+S20</f>
        <v>1.117</v>
      </c>
      <c r="P20" s="728">
        <v>0.664</v>
      </c>
      <c r="Q20" s="730"/>
      <c r="R20" s="728">
        <v>0.443</v>
      </c>
      <c r="S20" s="729">
        <v>0.01</v>
      </c>
    </row>
    <row r="21" spans="1:19" s="741" customFormat="1" ht="13.5">
      <c r="A21" s="736"/>
      <c r="B21" s="737"/>
      <c r="C21" s="738" t="s">
        <v>56</v>
      </c>
      <c r="D21" s="739"/>
      <c r="E21" s="25">
        <f>E20/E15</f>
        <v>0.016408432816865635</v>
      </c>
      <c r="F21" s="26">
        <f>F20/F15</f>
        <v>0.011559891340987052</v>
      </c>
      <c r="G21" s="26"/>
      <c r="H21" s="26">
        <f>H20/H15</f>
        <v>0.03090849779807536</v>
      </c>
      <c r="I21" s="27">
        <f>I20/I15</f>
        <v>0.008567931456548347</v>
      </c>
      <c r="J21" s="25">
        <f>J20/J15</f>
        <v>0.019528728211749516</v>
      </c>
      <c r="K21" s="26">
        <f>K20/K15</f>
        <v>0.013446023818670763</v>
      </c>
      <c r="L21" s="740"/>
      <c r="M21" s="26">
        <f>M20/M15</f>
        <v>0.03918495297805643</v>
      </c>
      <c r="N21" s="27">
        <f>N20/N15</f>
        <v>0.021739130434782608</v>
      </c>
      <c r="O21" s="25">
        <f>O20/O15</f>
        <v>0.01866083063249691</v>
      </c>
      <c r="P21" s="26">
        <f>P20/P15</f>
        <v>0.012957867416037312</v>
      </c>
      <c r="Q21" s="740"/>
      <c r="R21" s="26">
        <f>R20/R15</f>
        <v>0.03413731987362256</v>
      </c>
      <c r="S21" s="27">
        <f>S20/S15</f>
        <v>0.01218026796589525</v>
      </c>
    </row>
    <row r="22" spans="1:19" ht="13.5">
      <c r="A22" s="64" t="s">
        <v>33</v>
      </c>
      <c r="B22" s="60"/>
      <c r="C22" s="61" t="s">
        <v>57</v>
      </c>
      <c r="D22" s="62"/>
      <c r="E22" s="727">
        <f>I22</f>
        <v>0.053</v>
      </c>
      <c r="F22" s="728"/>
      <c r="G22" s="728"/>
      <c r="H22" s="728"/>
      <c r="I22" s="729">
        <v>0.053</v>
      </c>
      <c r="J22" s="727">
        <f>N22</f>
        <v>0.05</v>
      </c>
      <c r="K22" s="728"/>
      <c r="L22" s="730"/>
      <c r="M22" s="728"/>
      <c r="N22" s="729">
        <v>0.05</v>
      </c>
      <c r="O22" s="727">
        <f>S22</f>
        <v>0.053</v>
      </c>
      <c r="P22" s="728"/>
      <c r="Q22" s="730"/>
      <c r="R22" s="728"/>
      <c r="S22" s="729">
        <v>0.053</v>
      </c>
    </row>
    <row r="23" spans="1:21" ht="13.5">
      <c r="A23" s="64" t="s">
        <v>35</v>
      </c>
      <c r="B23" s="60"/>
      <c r="C23" s="61" t="s">
        <v>58</v>
      </c>
      <c r="D23" s="62"/>
      <c r="E23" s="727">
        <f>SUM(F23:I23)</f>
        <v>58.032999999999994</v>
      </c>
      <c r="F23" s="728">
        <f>F24+F25</f>
        <v>46.21</v>
      </c>
      <c r="G23" s="728"/>
      <c r="H23" s="728">
        <f>H24+H25</f>
        <v>11.065999999999999</v>
      </c>
      <c r="I23" s="729">
        <f>I24+I25</f>
        <v>0.7570000000000001</v>
      </c>
      <c r="J23" s="727">
        <f>SUM(K23:N23)</f>
        <v>60.699999999999996</v>
      </c>
      <c r="K23" s="728">
        <f>K24+K25</f>
        <v>48.5</v>
      </c>
      <c r="L23" s="730"/>
      <c r="M23" s="728">
        <f>M24+M25</f>
        <v>11.799999999999999</v>
      </c>
      <c r="N23" s="729">
        <f>N24</f>
        <v>0.4</v>
      </c>
      <c r="O23" s="727">
        <f>SUM(P23:S23)</f>
        <v>58.688</v>
      </c>
      <c r="P23" s="728">
        <f>P24+P25</f>
        <v>46.217</v>
      </c>
      <c r="Q23" s="730"/>
      <c r="R23" s="728">
        <f>R24+R25</f>
        <v>11.713000000000001</v>
      </c>
      <c r="S23" s="729">
        <f>S24+S25</f>
        <v>0.758</v>
      </c>
      <c r="T23" s="65">
        <f>6!M26</f>
        <v>6794.563426688633</v>
      </c>
      <c r="U23" s="65">
        <f>6!M21</f>
        <v>7114.555511519309</v>
      </c>
    </row>
    <row r="24" spans="1:19" ht="46.5" customHeight="1">
      <c r="A24" s="64" t="s">
        <v>38</v>
      </c>
      <c r="B24" s="60"/>
      <c r="C24" s="66" t="s">
        <v>59</v>
      </c>
      <c r="D24" s="62"/>
      <c r="E24" s="727">
        <f>SUM(F24:I24)</f>
        <v>38.339</v>
      </c>
      <c r="F24" s="728">
        <v>28.512</v>
      </c>
      <c r="G24" s="728"/>
      <c r="H24" s="728">
        <v>9.267</v>
      </c>
      <c r="I24" s="729">
        <v>0.56</v>
      </c>
      <c r="J24" s="727">
        <f>SUM(K24:N24)</f>
        <v>38.9</v>
      </c>
      <c r="K24" s="728">
        <v>28.4</v>
      </c>
      <c r="L24" s="730"/>
      <c r="M24" s="728">
        <v>10.1</v>
      </c>
      <c r="N24" s="729">
        <v>0.4</v>
      </c>
      <c r="O24" s="727">
        <f>SUM(P24:S24)</f>
        <v>38.934000000000005</v>
      </c>
      <c r="P24" s="728">
        <v>28.512</v>
      </c>
      <c r="Q24" s="730"/>
      <c r="R24" s="728">
        <v>9.852</v>
      </c>
      <c r="S24" s="729">
        <v>0.57</v>
      </c>
    </row>
    <row r="25" spans="1:19" ht="13.5">
      <c r="A25" s="64" t="s">
        <v>43</v>
      </c>
      <c r="B25" s="60"/>
      <c r="C25" s="61" t="str">
        <f>4!C33</f>
        <v>в другие сетевые организации</v>
      </c>
      <c r="D25" s="62"/>
      <c r="E25" s="727">
        <f>SUM(F25:I25)</f>
        <v>19.694</v>
      </c>
      <c r="F25" s="728">
        <v>17.698</v>
      </c>
      <c r="G25" s="728"/>
      <c r="H25" s="728">
        <v>1.799</v>
      </c>
      <c r="I25" s="729">
        <v>0.197</v>
      </c>
      <c r="J25" s="727">
        <f>SUM(K25:N25)</f>
        <v>21.8</v>
      </c>
      <c r="K25" s="728">
        <v>20.1</v>
      </c>
      <c r="L25" s="730"/>
      <c r="M25" s="728">
        <v>1.7</v>
      </c>
      <c r="N25" s="729"/>
      <c r="O25" s="727">
        <f>SUM(P25:S25)</f>
        <v>19.753999999999998</v>
      </c>
      <c r="P25" s="728">
        <v>17.705</v>
      </c>
      <c r="Q25" s="730"/>
      <c r="R25" s="728">
        <v>1.861</v>
      </c>
      <c r="S25" s="729">
        <v>0.188</v>
      </c>
    </row>
    <row r="26" spans="1:19" ht="14.25" thickBot="1">
      <c r="A26" s="67" t="s">
        <v>45</v>
      </c>
      <c r="B26" s="68"/>
      <c r="C26" s="69" t="str">
        <f>4!C34</f>
        <v>сальдо переток на более низкие уровни напряжения</v>
      </c>
      <c r="D26" s="70"/>
      <c r="E26" s="731"/>
      <c r="F26" s="732">
        <f>H16</f>
        <v>3.639999999999999</v>
      </c>
      <c r="G26" s="732"/>
      <c r="H26" s="732">
        <f>I16</f>
        <v>0.8170000000000002</v>
      </c>
      <c r="I26" s="733"/>
      <c r="J26" s="734"/>
      <c r="K26" s="732">
        <f>M16</f>
        <v>2.8599999999999994</v>
      </c>
      <c r="L26" s="735"/>
      <c r="M26" s="732">
        <f>N16</f>
        <v>0.46</v>
      </c>
      <c r="N26" s="733"/>
      <c r="O26" s="731"/>
      <c r="P26" s="732">
        <f>R16</f>
        <v>4.362</v>
      </c>
      <c r="Q26" s="735"/>
      <c r="R26" s="732">
        <f>S16</f>
        <v>0.821</v>
      </c>
      <c r="S26" s="733"/>
    </row>
    <row r="28" spans="1:19" ht="13.5">
      <c r="A28" s="809" t="str">
        <f>4!A36:I36</f>
        <v>Начальник ПЭО</v>
      </c>
      <c r="B28" s="809"/>
      <c r="C28" s="809"/>
      <c r="D28" s="809"/>
      <c r="E28" s="809"/>
      <c r="F28" s="809"/>
      <c r="G28" s="809"/>
      <c r="H28" s="809"/>
      <c r="I28" s="809"/>
      <c r="J28" s="809" t="str">
        <f>4!J36</f>
        <v>М.С. Мироненко</v>
      </c>
      <c r="K28" s="809"/>
      <c r="L28" s="809"/>
      <c r="M28" s="809"/>
      <c r="N28" s="809"/>
      <c r="O28" s="809"/>
      <c r="P28" s="809"/>
      <c r="Q28" s="809"/>
      <c r="R28" s="809"/>
      <c r="S28" s="809"/>
    </row>
    <row r="29" spans="16:19" ht="13.5">
      <c r="P29" s="71">
        <v>6692</v>
      </c>
      <c r="Q29" s="72"/>
      <c r="R29" s="71">
        <v>4194</v>
      </c>
      <c r="S29" s="71">
        <v>1266</v>
      </c>
    </row>
    <row r="30" spans="16:19" ht="13.5">
      <c r="P30" s="810" t="s">
        <v>60</v>
      </c>
      <c r="Q30" s="810"/>
      <c r="R30" s="810"/>
      <c r="S30" s="810"/>
    </row>
  </sheetData>
  <sheetProtection/>
  <mergeCells count="25">
    <mergeCell ref="A4:G4"/>
    <mergeCell ref="K4:S4"/>
    <mergeCell ref="Q1:S1"/>
    <mergeCell ref="A2:G2"/>
    <mergeCell ref="K2:S2"/>
    <mergeCell ref="A3:G3"/>
    <mergeCell ref="K3:S3"/>
    <mergeCell ref="A5:G5"/>
    <mergeCell ref="K5:S5"/>
    <mergeCell ref="A6:G6"/>
    <mergeCell ref="K6:S6"/>
    <mergeCell ref="A7:G7"/>
    <mergeCell ref="K7:S7"/>
    <mergeCell ref="B14:D14"/>
    <mergeCell ref="A28:I28"/>
    <mergeCell ref="J28:S28"/>
    <mergeCell ref="P30:S30"/>
    <mergeCell ref="A9:S9"/>
    <mergeCell ref="A10:S10"/>
    <mergeCell ref="R11:S11"/>
    <mergeCell ref="A12:A13"/>
    <mergeCell ref="B12:D13"/>
    <mergeCell ref="E12:I12"/>
    <mergeCell ref="J12:N12"/>
    <mergeCell ref="O12:S12"/>
  </mergeCells>
  <printOptions horizontalCentered="1"/>
  <pageMargins left="0.35433070866141736" right="0.31496062992125984" top="0.15748031496062992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37"/>
  <sheetViews>
    <sheetView view="pageBreakPreview" zoomScale="104" zoomScaleSheetLayoutView="104" zoomScalePageLayoutView="0" workbookViewId="0" topLeftCell="A1">
      <selection activeCell="E9" sqref="E9"/>
    </sheetView>
  </sheetViews>
  <sheetFormatPr defaultColWidth="8.00390625" defaultRowHeight="12.75" outlineLevelRow="1"/>
  <cols>
    <col min="1" max="1" width="4.50390625" style="73" customWidth="1"/>
    <col min="2" max="2" width="21.625" style="73" customWidth="1"/>
    <col min="3" max="3" width="8.875" style="73" customWidth="1"/>
    <col min="4" max="4" width="5.375" style="73" customWidth="1"/>
    <col min="5" max="5" width="5.625" style="73" customWidth="1"/>
    <col min="6" max="6" width="5.50390625" style="73" customWidth="1"/>
    <col min="7" max="7" width="5.625" style="73" customWidth="1"/>
    <col min="8" max="8" width="5.50390625" style="73" customWidth="1"/>
    <col min="9" max="9" width="4.875" style="73" customWidth="1"/>
    <col min="10" max="10" width="4.50390625" style="73" customWidth="1"/>
    <col min="11" max="11" width="6.875" style="73" customWidth="1"/>
    <col min="12" max="12" width="5.50390625" style="73" customWidth="1"/>
    <col min="13" max="13" width="11.00390625" style="73" customWidth="1"/>
    <col min="14" max="14" width="6.50390625" style="73" customWidth="1"/>
    <col min="15" max="15" width="6.375" style="73" customWidth="1"/>
    <col min="16" max="17" width="6.50390625" style="73" customWidth="1"/>
    <col min="18" max="18" width="7.125" style="73" customWidth="1"/>
    <col min="19" max="16384" width="8.00390625" style="73" customWidth="1"/>
  </cols>
  <sheetData>
    <row r="1" spans="1:18" ht="16.5">
      <c r="A1" s="832" t="s">
        <v>61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</row>
    <row r="2" spans="1:18" ht="16.5">
      <c r="A2" s="833" t="str">
        <f>'15 (ЭЭ)'!A4:E4</f>
        <v>ОАО "Электротехнический комплекс"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</row>
    <row r="3" ht="13.5" thickBot="1"/>
    <row r="4" spans="1:18" s="74" customFormat="1" ht="25.5" customHeight="1">
      <c r="A4" s="834" t="s">
        <v>62</v>
      </c>
      <c r="B4" s="836" t="s">
        <v>63</v>
      </c>
      <c r="C4" s="838" t="s">
        <v>64</v>
      </c>
      <c r="D4" s="839"/>
      <c r="E4" s="839"/>
      <c r="F4" s="839"/>
      <c r="G4" s="840"/>
      <c r="H4" s="838" t="s">
        <v>65</v>
      </c>
      <c r="I4" s="839"/>
      <c r="J4" s="839"/>
      <c r="K4" s="839"/>
      <c r="L4" s="840"/>
      <c r="M4" s="841" t="s">
        <v>66</v>
      </c>
      <c r="N4" s="839" t="s">
        <v>67</v>
      </c>
      <c r="O4" s="839"/>
      <c r="P4" s="839"/>
      <c r="Q4" s="839"/>
      <c r="R4" s="840"/>
    </row>
    <row r="5" spans="1:18" s="74" customFormat="1" ht="26.25">
      <c r="A5" s="835"/>
      <c r="B5" s="837"/>
      <c r="C5" s="75" t="s">
        <v>68</v>
      </c>
      <c r="D5" s="76" t="s">
        <v>16</v>
      </c>
      <c r="E5" s="76" t="s">
        <v>17</v>
      </c>
      <c r="F5" s="76" t="s">
        <v>18</v>
      </c>
      <c r="G5" s="77" t="s">
        <v>19</v>
      </c>
      <c r="H5" s="75" t="s">
        <v>68</v>
      </c>
      <c r="I5" s="76" t="s">
        <v>16</v>
      </c>
      <c r="J5" s="76" t="s">
        <v>17</v>
      </c>
      <c r="K5" s="76" t="s">
        <v>18</v>
      </c>
      <c r="L5" s="77" t="s">
        <v>19</v>
      </c>
      <c r="M5" s="842"/>
      <c r="N5" s="78" t="s">
        <v>68</v>
      </c>
      <c r="O5" s="76" t="s">
        <v>16</v>
      </c>
      <c r="P5" s="76" t="s">
        <v>17</v>
      </c>
      <c r="Q5" s="76" t="s">
        <v>18</v>
      </c>
      <c r="R5" s="77" t="s">
        <v>19</v>
      </c>
    </row>
    <row r="6" spans="1:18" ht="13.5" thickBot="1">
      <c r="A6" s="79">
        <v>1</v>
      </c>
      <c r="B6" s="80">
        <f aca="true" t="shared" si="0" ref="B6:R6">+A6+1</f>
        <v>2</v>
      </c>
      <c r="C6" s="79">
        <f t="shared" si="0"/>
        <v>3</v>
      </c>
      <c r="D6" s="81">
        <f t="shared" si="0"/>
        <v>4</v>
      </c>
      <c r="E6" s="81">
        <f t="shared" si="0"/>
        <v>5</v>
      </c>
      <c r="F6" s="81">
        <f t="shared" si="0"/>
        <v>6</v>
      </c>
      <c r="G6" s="82">
        <f t="shared" si="0"/>
        <v>7</v>
      </c>
      <c r="H6" s="79">
        <f t="shared" si="0"/>
        <v>8</v>
      </c>
      <c r="I6" s="81">
        <f t="shared" si="0"/>
        <v>9</v>
      </c>
      <c r="J6" s="81">
        <f t="shared" si="0"/>
        <v>10</v>
      </c>
      <c r="K6" s="81">
        <f t="shared" si="0"/>
        <v>11</v>
      </c>
      <c r="L6" s="82">
        <f t="shared" si="0"/>
        <v>12</v>
      </c>
      <c r="M6" s="83">
        <f t="shared" si="0"/>
        <v>13</v>
      </c>
      <c r="N6" s="84">
        <f t="shared" si="0"/>
        <v>14</v>
      </c>
      <c r="O6" s="81">
        <f t="shared" si="0"/>
        <v>15</v>
      </c>
      <c r="P6" s="81">
        <f t="shared" si="0"/>
        <v>16</v>
      </c>
      <c r="Q6" s="81">
        <f t="shared" si="0"/>
        <v>17</v>
      </c>
      <c r="R6" s="82">
        <f t="shared" si="0"/>
        <v>18</v>
      </c>
    </row>
    <row r="7" spans="1:18" ht="13.5" hidden="1" outlineLevel="1" thickBot="1">
      <c r="A7" s="825" t="s">
        <v>69</v>
      </c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7"/>
    </row>
    <row r="8" spans="1:18" ht="14.25" hidden="1" outlineLevel="1" thickBot="1">
      <c r="A8" s="85" t="s">
        <v>70</v>
      </c>
      <c r="B8" s="86" t="s">
        <v>71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88"/>
      <c r="P8" s="88"/>
      <c r="Q8" s="88"/>
      <c r="R8" s="89"/>
    </row>
    <row r="9" spans="1:18" ht="14.25" hidden="1" outlineLevel="1" thickBot="1">
      <c r="A9" s="85"/>
      <c r="B9" s="86" t="s">
        <v>72</v>
      </c>
      <c r="C9" s="87">
        <f>SUM(D9:G9)</f>
        <v>0</v>
      </c>
      <c r="D9" s="87"/>
      <c r="E9" s="87"/>
      <c r="F9" s="87"/>
      <c r="G9" s="87"/>
      <c r="H9" s="87">
        <f>SUM(I9:L9)</f>
        <v>0</v>
      </c>
      <c r="I9" s="87"/>
      <c r="J9" s="87"/>
      <c r="K9" s="87"/>
      <c r="L9" s="87"/>
      <c r="M9" s="87">
        <v>0</v>
      </c>
      <c r="N9" s="90">
        <f>SUM(O9:R9)</f>
        <v>0</v>
      </c>
      <c r="O9" s="90">
        <v>0</v>
      </c>
      <c r="P9" s="90">
        <v>0</v>
      </c>
      <c r="Q9" s="90">
        <v>0</v>
      </c>
      <c r="R9" s="91">
        <v>0</v>
      </c>
    </row>
    <row r="10" spans="1:18" ht="14.25" hidden="1" outlineLevel="1" thickBot="1">
      <c r="A10" s="85"/>
      <c r="B10" s="86" t="s">
        <v>73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8"/>
      <c r="P10" s="88"/>
      <c r="Q10" s="88"/>
      <c r="R10" s="89"/>
    </row>
    <row r="11" spans="1:18" ht="14.25" hidden="1" outlineLevel="1" thickBot="1">
      <c r="A11" s="85"/>
      <c r="B11" s="86" t="s">
        <v>74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8"/>
      <c r="P11" s="88"/>
      <c r="Q11" s="88"/>
      <c r="R11" s="89"/>
    </row>
    <row r="12" spans="1:18" ht="27.75" hidden="1" outlineLevel="1" thickBot="1">
      <c r="A12" s="85" t="s">
        <v>75</v>
      </c>
      <c r="B12" s="86" t="s">
        <v>76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88"/>
      <c r="P12" s="88"/>
      <c r="Q12" s="88"/>
      <c r="R12" s="89"/>
    </row>
    <row r="13" spans="1:18" ht="14.25" hidden="1" outlineLevel="1" thickBot="1">
      <c r="A13" s="85" t="s">
        <v>77</v>
      </c>
      <c r="B13" s="86" t="s">
        <v>78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88"/>
      <c r="P13" s="88"/>
      <c r="Q13" s="88"/>
      <c r="R13" s="89"/>
    </row>
    <row r="14" spans="1:18" ht="14.25" hidden="1" outlineLevel="1" thickBot="1">
      <c r="A14" s="85" t="s">
        <v>79</v>
      </c>
      <c r="B14" s="86" t="s">
        <v>80</v>
      </c>
      <c r="C14" s="92" t="e">
        <f>SUM(D14:G14)</f>
        <v>#REF!</v>
      </c>
      <c r="D14" s="87"/>
      <c r="E14" s="87"/>
      <c r="F14" s="87" t="e">
        <f>#REF!-#REF!-#REF!</f>
        <v>#REF!</v>
      </c>
      <c r="G14" s="87" t="e">
        <f>#REF!-#REF!</f>
        <v>#REF!</v>
      </c>
      <c r="H14" s="92">
        <f>SUM(I14:L14)</f>
        <v>37.8</v>
      </c>
      <c r="I14" s="87"/>
      <c r="J14" s="87"/>
      <c r="K14" s="87">
        <v>29.7</v>
      </c>
      <c r="L14" s="87">
        <v>8.1</v>
      </c>
      <c r="M14" s="87" t="e">
        <f>C14/H14*1000</f>
        <v>#REF!</v>
      </c>
      <c r="N14" s="90" t="e">
        <f>SUM(O14:R14)</f>
        <v>#REF!</v>
      </c>
      <c r="O14" s="90" t="e">
        <f>D14/C14*100</f>
        <v>#REF!</v>
      </c>
      <c r="P14" s="90" t="e">
        <f>E14/C14*100</f>
        <v>#REF!</v>
      </c>
      <c r="Q14" s="90" t="e">
        <f>F14/C14*100</f>
        <v>#REF!</v>
      </c>
      <c r="R14" s="91" t="e">
        <f>G14/C14*100</f>
        <v>#REF!</v>
      </c>
    </row>
    <row r="15" spans="1:18" ht="14.25" hidden="1" outlineLevel="1" thickBot="1">
      <c r="A15" s="93" t="s">
        <v>81</v>
      </c>
      <c r="B15" s="94" t="s">
        <v>82</v>
      </c>
      <c r="C15" s="95" t="e">
        <f>SUM(D15:G15)</f>
        <v>#REF!</v>
      </c>
      <c r="D15" s="96">
        <f>SUM(D8:D14)</f>
        <v>0</v>
      </c>
      <c r="E15" s="96">
        <f>SUM(E8:E14)</f>
        <v>0</v>
      </c>
      <c r="F15" s="95" t="e">
        <f>SUM(F8:F14)</f>
        <v>#REF!</v>
      </c>
      <c r="G15" s="95" t="e">
        <f>SUM(G8:G14)</f>
        <v>#REF!</v>
      </c>
      <c r="H15" s="95">
        <f>SUM(I15:L15)</f>
        <v>37.8</v>
      </c>
      <c r="I15" s="96">
        <f>SUM(I8:I14)</f>
        <v>0</v>
      </c>
      <c r="J15" s="96">
        <f>SUM(J8:J14)</f>
        <v>0</v>
      </c>
      <c r="K15" s="95">
        <f>SUM(K8:K14)</f>
        <v>29.7</v>
      </c>
      <c r="L15" s="95">
        <f>SUM(L8:L14)</f>
        <v>8.1</v>
      </c>
      <c r="M15" s="96" t="e">
        <f>C15/H15*1000</f>
        <v>#REF!</v>
      </c>
      <c r="N15" s="97" t="e">
        <f>SUM(O15:R15)</f>
        <v>#REF!</v>
      </c>
      <c r="O15" s="97" t="e">
        <f>D15/C15*100</f>
        <v>#REF!</v>
      </c>
      <c r="P15" s="97" t="e">
        <f>E15/C15*100</f>
        <v>#REF!</v>
      </c>
      <c r="Q15" s="97" t="e">
        <f>F15/C15*100</f>
        <v>#REF!</v>
      </c>
      <c r="R15" s="98" t="e">
        <f>G15/C15*100</f>
        <v>#REF!</v>
      </c>
    </row>
    <row r="16" spans="1:18" ht="27.75" customHeight="1" collapsed="1" thickBot="1">
      <c r="A16" s="828" t="str">
        <f>5!E12</f>
        <v>Отчетный период
2013 год</v>
      </c>
      <c r="B16" s="829"/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30"/>
    </row>
    <row r="17" spans="1:18" ht="13.5">
      <c r="A17" s="99" t="s">
        <v>70</v>
      </c>
      <c r="B17" s="100" t="s">
        <v>71</v>
      </c>
      <c r="C17" s="101"/>
      <c r="D17" s="102"/>
      <c r="E17" s="102"/>
      <c r="F17" s="102"/>
      <c r="G17" s="103"/>
      <c r="H17" s="104"/>
      <c r="I17" s="105"/>
      <c r="J17" s="105"/>
      <c r="K17" s="105"/>
      <c r="L17" s="106"/>
      <c r="M17" s="107"/>
      <c r="N17" s="108"/>
      <c r="O17" s="109"/>
      <c r="P17" s="109"/>
      <c r="Q17" s="109"/>
      <c r="R17" s="110"/>
    </row>
    <row r="18" spans="1:18" ht="27">
      <c r="A18" s="85" t="s">
        <v>75</v>
      </c>
      <c r="B18" s="111" t="s">
        <v>76</v>
      </c>
      <c r="C18" s="112"/>
      <c r="D18" s="113"/>
      <c r="E18" s="113"/>
      <c r="F18" s="113"/>
      <c r="G18" s="114"/>
      <c r="H18" s="115"/>
      <c r="I18" s="113"/>
      <c r="J18" s="113"/>
      <c r="K18" s="113"/>
      <c r="L18" s="116"/>
      <c r="M18" s="117"/>
      <c r="N18" s="118"/>
      <c r="O18" s="119"/>
      <c r="P18" s="119"/>
      <c r="Q18" s="119"/>
      <c r="R18" s="120"/>
    </row>
    <row r="19" spans="1:18" ht="13.5">
      <c r="A19" s="85" t="s">
        <v>77</v>
      </c>
      <c r="B19" s="111" t="s">
        <v>78</v>
      </c>
      <c r="C19" s="112"/>
      <c r="D19" s="113"/>
      <c r="E19" s="113"/>
      <c r="F19" s="113"/>
      <c r="G19" s="114"/>
      <c r="H19" s="115"/>
      <c r="I19" s="113"/>
      <c r="J19" s="113"/>
      <c r="K19" s="113"/>
      <c r="L19" s="116"/>
      <c r="M19" s="117"/>
      <c r="N19" s="118"/>
      <c r="O19" s="119"/>
      <c r="P19" s="119"/>
      <c r="Q19" s="119"/>
      <c r="R19" s="120"/>
    </row>
    <row r="20" spans="1:18" ht="13.5">
      <c r="A20" s="85" t="s">
        <v>79</v>
      </c>
      <c r="B20" s="111" t="s">
        <v>80</v>
      </c>
      <c r="C20" s="121">
        <f>C21</f>
        <v>412.879</v>
      </c>
      <c r="D20" s="113">
        <f>D21</f>
        <v>328.27</v>
      </c>
      <c r="E20" s="113"/>
      <c r="F20" s="113">
        <f>F21</f>
        <v>79.78299999999999</v>
      </c>
      <c r="G20" s="114">
        <f>G21</f>
        <v>4.8260000000000005</v>
      </c>
      <c r="H20" s="122">
        <f>H21</f>
        <v>58.032999999999994</v>
      </c>
      <c r="I20" s="113">
        <f>I21</f>
        <v>46.21</v>
      </c>
      <c r="J20" s="113"/>
      <c r="K20" s="113">
        <f>K21</f>
        <v>11.065999999999999</v>
      </c>
      <c r="L20" s="116">
        <f>L21</f>
        <v>0.7570000000000001</v>
      </c>
      <c r="M20" s="123">
        <f>M21</f>
        <v>7114.555511519309</v>
      </c>
      <c r="N20" s="124">
        <f>N21</f>
        <v>99.99999999999999</v>
      </c>
      <c r="O20" s="125">
        <f>O21</f>
        <v>79.5075554823568</v>
      </c>
      <c r="P20" s="125"/>
      <c r="Q20" s="125">
        <f>Q21</f>
        <v>19.32357906311534</v>
      </c>
      <c r="R20" s="126">
        <f>R21</f>
        <v>1.16886545452784</v>
      </c>
    </row>
    <row r="21" spans="1:18" ht="14.25" thickBot="1">
      <c r="A21" s="127" t="s">
        <v>81</v>
      </c>
      <c r="B21" s="128" t="s">
        <v>82</v>
      </c>
      <c r="C21" s="129">
        <f>SUM(D21:G21)</f>
        <v>412.879</v>
      </c>
      <c r="D21" s="130">
        <f>4!F27</f>
        <v>328.27</v>
      </c>
      <c r="E21" s="130"/>
      <c r="F21" s="131">
        <f>4!H27</f>
        <v>79.78299999999999</v>
      </c>
      <c r="G21" s="132">
        <f>4!I27</f>
        <v>4.8260000000000005</v>
      </c>
      <c r="H21" s="133">
        <f>SUM(I21:L21)</f>
        <v>58.032999999999994</v>
      </c>
      <c r="I21" s="130">
        <f>5!F23</f>
        <v>46.21</v>
      </c>
      <c r="J21" s="130"/>
      <c r="K21" s="131">
        <f>5!H23</f>
        <v>11.065999999999999</v>
      </c>
      <c r="L21" s="134">
        <f>5!I23</f>
        <v>0.7570000000000001</v>
      </c>
      <c r="M21" s="135">
        <f>C21/H21*1000</f>
        <v>7114.555511519309</v>
      </c>
      <c r="N21" s="136">
        <f>SUM(O21:R21)</f>
        <v>99.99999999999999</v>
      </c>
      <c r="O21" s="137">
        <f>D21/C21*100</f>
        <v>79.5075554823568</v>
      </c>
      <c r="P21" s="137"/>
      <c r="Q21" s="137">
        <f>F21/C21*100</f>
        <v>19.32357906311534</v>
      </c>
      <c r="R21" s="138">
        <f>G21/C21*100</f>
        <v>1.16886545452784</v>
      </c>
    </row>
    <row r="22" spans="1:18" ht="27.75" customHeight="1" hidden="1" outlineLevel="1" thickBot="1">
      <c r="A22" s="828" t="str">
        <f>5!J12</f>
        <v>Базовый период
2013 год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30"/>
    </row>
    <row r="23" spans="1:18" ht="13.5" hidden="1" outlineLevel="1">
      <c r="A23" s="99" t="s">
        <v>70</v>
      </c>
      <c r="B23" s="100" t="s">
        <v>71</v>
      </c>
      <c r="C23" s="139"/>
      <c r="D23" s="102"/>
      <c r="E23" s="102"/>
      <c r="F23" s="140"/>
      <c r="G23" s="141"/>
      <c r="H23" s="142"/>
      <c r="I23" s="105"/>
      <c r="J23" s="105"/>
      <c r="K23" s="143"/>
      <c r="L23" s="144"/>
      <c r="M23" s="107"/>
      <c r="N23" s="145"/>
      <c r="O23" s="146"/>
      <c r="P23" s="146"/>
      <c r="Q23" s="146"/>
      <c r="R23" s="147"/>
    </row>
    <row r="24" spans="1:18" ht="27" hidden="1" outlineLevel="1">
      <c r="A24" s="85" t="s">
        <v>75</v>
      </c>
      <c r="B24" s="111" t="s">
        <v>76</v>
      </c>
      <c r="C24" s="121"/>
      <c r="D24" s="113"/>
      <c r="E24" s="113"/>
      <c r="F24" s="148"/>
      <c r="G24" s="149"/>
      <c r="H24" s="122"/>
      <c r="I24" s="113"/>
      <c r="J24" s="113"/>
      <c r="K24" s="148"/>
      <c r="L24" s="150"/>
      <c r="M24" s="117"/>
      <c r="N24" s="124"/>
      <c r="O24" s="125"/>
      <c r="P24" s="125"/>
      <c r="Q24" s="125"/>
      <c r="R24" s="126"/>
    </row>
    <row r="25" spans="1:18" ht="13.5" hidden="1" outlineLevel="1">
      <c r="A25" s="85" t="s">
        <v>77</v>
      </c>
      <c r="B25" s="111" t="s">
        <v>78</v>
      </c>
      <c r="C25" s="121"/>
      <c r="D25" s="113"/>
      <c r="E25" s="113"/>
      <c r="F25" s="148"/>
      <c r="G25" s="149"/>
      <c r="H25" s="122"/>
      <c r="I25" s="113"/>
      <c r="J25" s="113"/>
      <c r="K25" s="148"/>
      <c r="L25" s="150"/>
      <c r="M25" s="117"/>
      <c r="N25" s="124"/>
      <c r="O25" s="125"/>
      <c r="P25" s="125"/>
      <c r="Q25" s="125"/>
      <c r="R25" s="126"/>
    </row>
    <row r="26" spans="1:18" ht="13.5" hidden="1" outlineLevel="1">
      <c r="A26" s="85" t="s">
        <v>79</v>
      </c>
      <c r="B26" s="111" t="s">
        <v>80</v>
      </c>
      <c r="C26" s="121">
        <f>D26+F26+G26</f>
        <v>412.43</v>
      </c>
      <c r="D26" s="113">
        <f>4!K27</f>
        <v>325.59</v>
      </c>
      <c r="E26" s="113"/>
      <c r="F26" s="148">
        <f>4!M27</f>
        <v>84.11999999999999</v>
      </c>
      <c r="G26" s="149">
        <f>4!N27</f>
        <v>2.72</v>
      </c>
      <c r="H26" s="122">
        <f>I26+K26+L26</f>
        <v>60.699999999999996</v>
      </c>
      <c r="I26" s="113">
        <f>5!K23</f>
        <v>48.5</v>
      </c>
      <c r="J26" s="113"/>
      <c r="K26" s="148">
        <f>5!M23</f>
        <v>11.799999999999999</v>
      </c>
      <c r="L26" s="150">
        <f>5!N23</f>
        <v>0.4</v>
      </c>
      <c r="M26" s="123">
        <f>C26/H26*1000</f>
        <v>6794.563426688633</v>
      </c>
      <c r="N26" s="124">
        <f>SUM(O26:R26)</f>
        <v>99.99999999999999</v>
      </c>
      <c r="O26" s="125">
        <f>D26/C26*100</f>
        <v>78.94430570036126</v>
      </c>
      <c r="P26" s="125"/>
      <c r="Q26" s="125">
        <f>F26/C26*100</f>
        <v>20.396188444099604</v>
      </c>
      <c r="R26" s="126">
        <f>G26/C26*100</f>
        <v>0.6595058555391218</v>
      </c>
    </row>
    <row r="27" spans="1:18" ht="14.25" hidden="1" outlineLevel="1" thickBot="1">
      <c r="A27" s="127" t="s">
        <v>81</v>
      </c>
      <c r="B27" s="128" t="s">
        <v>82</v>
      </c>
      <c r="C27" s="129">
        <f>C26</f>
        <v>412.43</v>
      </c>
      <c r="D27" s="130">
        <f>D26</f>
        <v>325.59</v>
      </c>
      <c r="E27" s="130"/>
      <c r="F27" s="131">
        <f>F26</f>
        <v>84.11999999999999</v>
      </c>
      <c r="G27" s="132">
        <f>G26</f>
        <v>2.72</v>
      </c>
      <c r="H27" s="133">
        <f>H26</f>
        <v>60.699999999999996</v>
      </c>
      <c r="I27" s="130">
        <f>I26</f>
        <v>48.5</v>
      </c>
      <c r="J27" s="130"/>
      <c r="K27" s="131">
        <f>K26</f>
        <v>11.799999999999999</v>
      </c>
      <c r="L27" s="134">
        <f>L26</f>
        <v>0.4</v>
      </c>
      <c r="M27" s="135">
        <f>M26</f>
        <v>6794.563426688633</v>
      </c>
      <c r="N27" s="136">
        <f>SUM(O27:R27)</f>
        <v>99.99999999999999</v>
      </c>
      <c r="O27" s="137">
        <f>D27/C27*100</f>
        <v>78.94430570036126</v>
      </c>
      <c r="P27" s="137"/>
      <c r="Q27" s="137">
        <f>F27/C27*100</f>
        <v>20.396188444099604</v>
      </c>
      <c r="R27" s="138">
        <f>G27/C27*100</f>
        <v>0.6595058555391218</v>
      </c>
    </row>
    <row r="28" spans="1:18" ht="27.75" customHeight="1" collapsed="1" thickBot="1">
      <c r="A28" s="828" t="str">
        <f>5!O12</f>
        <v>Период регулирования
2015 год</v>
      </c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30"/>
    </row>
    <row r="29" spans="1:18" ht="13.5">
      <c r="A29" s="99" t="s">
        <v>70</v>
      </c>
      <c r="B29" s="100" t="s">
        <v>71</v>
      </c>
      <c r="C29" s="101"/>
      <c r="D29" s="102"/>
      <c r="E29" s="102"/>
      <c r="F29" s="102"/>
      <c r="G29" s="103"/>
      <c r="H29" s="104"/>
      <c r="I29" s="105"/>
      <c r="J29" s="105"/>
      <c r="K29" s="105"/>
      <c r="L29" s="106"/>
      <c r="M29" s="107"/>
      <c r="N29" s="108"/>
      <c r="O29" s="109"/>
      <c r="P29" s="109"/>
      <c r="Q29" s="109"/>
      <c r="R29" s="110"/>
    </row>
    <row r="30" spans="1:18" ht="27">
      <c r="A30" s="85" t="s">
        <v>75</v>
      </c>
      <c r="B30" s="111" t="s">
        <v>76</v>
      </c>
      <c r="C30" s="112"/>
      <c r="D30" s="113"/>
      <c r="E30" s="113"/>
      <c r="F30" s="113"/>
      <c r="G30" s="114"/>
      <c r="H30" s="115"/>
      <c r="I30" s="113"/>
      <c r="J30" s="113"/>
      <c r="K30" s="113"/>
      <c r="L30" s="116"/>
      <c r="M30" s="117"/>
      <c r="N30" s="118"/>
      <c r="O30" s="119"/>
      <c r="P30" s="119"/>
      <c r="Q30" s="119"/>
      <c r="R30" s="120"/>
    </row>
    <row r="31" spans="1:18" ht="13.5">
      <c r="A31" s="85" t="s">
        <v>77</v>
      </c>
      <c r="B31" s="111" t="s">
        <v>78</v>
      </c>
      <c r="C31" s="112"/>
      <c r="D31" s="113"/>
      <c r="E31" s="113"/>
      <c r="F31" s="113"/>
      <c r="G31" s="114"/>
      <c r="H31" s="115"/>
      <c r="I31" s="113"/>
      <c r="J31" s="113"/>
      <c r="K31" s="113"/>
      <c r="L31" s="116"/>
      <c r="M31" s="117"/>
      <c r="N31" s="118"/>
      <c r="O31" s="119"/>
      <c r="P31" s="119"/>
      <c r="Q31" s="119"/>
      <c r="R31" s="120"/>
    </row>
    <row r="32" spans="1:18" ht="13.5">
      <c r="A32" s="85" t="s">
        <v>79</v>
      </c>
      <c r="B32" s="111" t="s">
        <v>80</v>
      </c>
      <c r="C32" s="121">
        <f>SUM(D32:G32)</f>
        <v>414.6298</v>
      </c>
      <c r="D32" s="113">
        <f>4!P27</f>
        <v>328.2698</v>
      </c>
      <c r="E32" s="113"/>
      <c r="F32" s="148">
        <f>4!R27</f>
        <v>81.41</v>
      </c>
      <c r="G32" s="149">
        <f>4!S27</f>
        <v>4.95</v>
      </c>
      <c r="H32" s="122">
        <f>SUM(I32:L32)</f>
        <v>58.688</v>
      </c>
      <c r="I32" s="113">
        <f>5!P23</f>
        <v>46.217</v>
      </c>
      <c r="J32" s="113"/>
      <c r="K32" s="148">
        <f>5!R23</f>
        <v>11.713000000000001</v>
      </c>
      <c r="L32" s="150">
        <f>5!S23</f>
        <v>0.758</v>
      </c>
      <c r="M32" s="123">
        <f>C32/H32*1000</f>
        <v>7064.984323882224</v>
      </c>
      <c r="N32" s="124">
        <f>SUM(O32:R32)</f>
        <v>100</v>
      </c>
      <c r="O32" s="125">
        <f>D32/C32*100</f>
        <v>79.17178167126434</v>
      </c>
      <c r="P32" s="125"/>
      <c r="Q32" s="125">
        <f>F32/C32*100</f>
        <v>19.63438228511313</v>
      </c>
      <c r="R32" s="126">
        <f>G32/C32*100</f>
        <v>1.193836043622528</v>
      </c>
    </row>
    <row r="33" spans="1:18" ht="14.25" thickBot="1">
      <c r="A33" s="127" t="s">
        <v>81</v>
      </c>
      <c r="B33" s="128" t="s">
        <v>82</v>
      </c>
      <c r="C33" s="129">
        <f>C32</f>
        <v>414.6298</v>
      </c>
      <c r="D33" s="130">
        <f>D32</f>
        <v>328.2698</v>
      </c>
      <c r="E33" s="130"/>
      <c r="F33" s="131">
        <f>F32</f>
        <v>81.41</v>
      </c>
      <c r="G33" s="132">
        <f>G32</f>
        <v>4.95</v>
      </c>
      <c r="H33" s="133">
        <f>H32</f>
        <v>58.688</v>
      </c>
      <c r="I33" s="130">
        <f>I32</f>
        <v>46.217</v>
      </c>
      <c r="J33" s="130"/>
      <c r="K33" s="131">
        <f>K32</f>
        <v>11.713000000000001</v>
      </c>
      <c r="L33" s="134">
        <f>L32</f>
        <v>0.758</v>
      </c>
      <c r="M33" s="135">
        <f>M32</f>
        <v>7064.984323882224</v>
      </c>
      <c r="N33" s="136">
        <f>SUM(O33:R33)</f>
        <v>100</v>
      </c>
      <c r="O33" s="137">
        <f>D33/C33*100</f>
        <v>79.17178167126434</v>
      </c>
      <c r="P33" s="137"/>
      <c r="Q33" s="137">
        <f>F33/C33*100</f>
        <v>19.63438228511313</v>
      </c>
      <c r="R33" s="138">
        <f>G33/C33*100</f>
        <v>1.193836043622528</v>
      </c>
    </row>
    <row r="34" spans="1:18" ht="12.7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  <c r="O34" s="152"/>
      <c r="P34" s="152"/>
      <c r="Q34" s="152"/>
      <c r="R34" s="152"/>
    </row>
    <row r="35" spans="1:18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/>
      <c r="O35" s="152"/>
      <c r="P35" s="152"/>
      <c r="Q35" s="152"/>
      <c r="R35" s="152"/>
    </row>
    <row r="36" spans="1:18" ht="15">
      <c r="A36" s="831" t="s">
        <v>83</v>
      </c>
      <c r="B36" s="831"/>
      <c r="C36" s="831"/>
      <c r="D36" s="831"/>
      <c r="E36" s="831"/>
      <c r="F36" s="831"/>
      <c r="G36" s="831"/>
      <c r="H36" s="831"/>
      <c r="I36" s="831" t="s">
        <v>84</v>
      </c>
      <c r="J36" s="831"/>
      <c r="K36" s="831"/>
      <c r="L36" s="831"/>
      <c r="M36" s="831"/>
      <c r="N36" s="831"/>
      <c r="O36" s="831"/>
      <c r="P36" s="831"/>
      <c r="Q36" s="831"/>
      <c r="R36" s="831"/>
    </row>
    <row r="37" spans="4:12" ht="12.75">
      <c r="D37" s="153"/>
      <c r="E37" s="153"/>
      <c r="F37" s="153"/>
      <c r="G37" s="153"/>
      <c r="I37" s="153"/>
      <c r="J37" s="153"/>
      <c r="K37" s="153"/>
      <c r="L37" s="153"/>
    </row>
  </sheetData>
  <sheetProtection/>
  <mergeCells count="14">
    <mergeCell ref="A1:R1"/>
    <mergeCell ref="A2:R2"/>
    <mergeCell ref="A4:A5"/>
    <mergeCell ref="B4:B5"/>
    <mergeCell ref="C4:G4"/>
    <mergeCell ref="H4:L4"/>
    <mergeCell ref="M4:M5"/>
    <mergeCell ref="N4:R4"/>
    <mergeCell ref="A7:R7"/>
    <mergeCell ref="A16:R16"/>
    <mergeCell ref="A22:R22"/>
    <mergeCell ref="A28:R28"/>
    <mergeCell ref="A36:H36"/>
    <mergeCell ref="I36:R36"/>
  </mergeCells>
  <printOptions horizontalCentered="1"/>
  <pageMargins left="0.3937007874015748" right="0" top="0.43" bottom="0.26" header="0.2362204724409449" footer="0.16"/>
  <pageSetup fitToHeight="1" fitToWidth="1" horizontalDpi="600" verticalDpi="600" orientation="landscape" paperSize="9" r:id="rId1"/>
  <headerFooter alignWithMargins="0">
    <oddHeader>&amp;RТаблица № П1.6.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8"/>
  <sheetViews>
    <sheetView showGridLines="0" view="pageBreakPreview" zoomScale="85" zoomScaleNormal="115" zoomScaleSheetLayoutView="85" zoomScalePageLayoutView="0" workbookViewId="0" topLeftCell="A10">
      <selection activeCell="E9" sqref="E9"/>
    </sheetView>
  </sheetViews>
  <sheetFormatPr defaultColWidth="9.125" defaultRowHeight="12.75" outlineLevelCol="1"/>
  <cols>
    <col min="1" max="1" width="6.875" style="154" customWidth="1"/>
    <col min="2" max="2" width="69.50390625" style="154" customWidth="1"/>
    <col min="3" max="3" width="13.875" style="154" customWidth="1"/>
    <col min="4" max="4" width="12.625" style="154" hidden="1" customWidth="1" outlineLevel="1"/>
    <col min="5" max="5" width="13.875" style="154" customWidth="1" collapsed="1"/>
    <col min="6" max="6" width="9.875" style="154" customWidth="1"/>
    <col min="7" max="16384" width="9.125" style="154" customWidth="1"/>
  </cols>
  <sheetData>
    <row r="1" spans="1:5" ht="12.75">
      <c r="A1" s="844" t="s">
        <v>85</v>
      </c>
      <c r="B1" s="844"/>
      <c r="C1" s="844"/>
      <c r="D1" s="844"/>
      <c r="E1" s="844"/>
    </row>
    <row r="2" spans="1:5" ht="17.25">
      <c r="A2" s="845" t="s">
        <v>86</v>
      </c>
      <c r="B2" s="845"/>
      <c r="C2" s="845"/>
      <c r="D2" s="845"/>
      <c r="E2" s="845"/>
    </row>
    <row r="3" spans="1:5" ht="15">
      <c r="A3" s="846" t="s">
        <v>87</v>
      </c>
      <c r="B3" s="846"/>
      <c r="C3" s="846"/>
      <c r="D3" s="846"/>
      <c r="E3" s="846"/>
    </row>
    <row r="4" spans="1:5" ht="15">
      <c r="A4" s="847" t="s">
        <v>5</v>
      </c>
      <c r="B4" s="847"/>
      <c r="C4" s="847"/>
      <c r="D4" s="847"/>
      <c r="E4" s="847"/>
    </row>
    <row r="5" spans="1:5" ht="18" thickBot="1">
      <c r="A5" s="155"/>
      <c r="B5" s="156"/>
      <c r="C5" s="156"/>
      <c r="D5" s="155"/>
      <c r="E5" s="157" t="s">
        <v>88</v>
      </c>
    </row>
    <row r="6" spans="1:5" ht="12.75">
      <c r="A6" s="848" t="s">
        <v>89</v>
      </c>
      <c r="B6" s="850" t="s">
        <v>90</v>
      </c>
      <c r="C6" s="852" t="str">
        <f>6!A16</f>
        <v>Отчетный период
2013 год</v>
      </c>
      <c r="D6" s="854" t="str">
        <f>6!A22</f>
        <v>Базовый период
2013 год</v>
      </c>
      <c r="E6" s="856" t="str">
        <f>6!A28</f>
        <v>Период регулирования
2015 год</v>
      </c>
    </row>
    <row r="7" spans="1:5" ht="27.75" customHeight="1">
      <c r="A7" s="849"/>
      <c r="B7" s="851"/>
      <c r="C7" s="853"/>
      <c r="D7" s="855"/>
      <c r="E7" s="857"/>
    </row>
    <row r="8" spans="1:5" ht="15.75" thickBot="1">
      <c r="A8" s="158">
        <v>1</v>
      </c>
      <c r="B8" s="159">
        <v>2</v>
      </c>
      <c r="C8" s="158">
        <v>3</v>
      </c>
      <c r="D8" s="160">
        <v>4</v>
      </c>
      <c r="E8" s="161">
        <v>4</v>
      </c>
    </row>
    <row r="9" spans="1:5" ht="15">
      <c r="A9" s="162" t="s">
        <v>70</v>
      </c>
      <c r="B9" s="163" t="s">
        <v>91</v>
      </c>
      <c r="C9" s="164"/>
      <c r="D9" s="165"/>
      <c r="E9" s="166"/>
    </row>
    <row r="10" spans="1:5" ht="15">
      <c r="A10" s="167" t="s">
        <v>75</v>
      </c>
      <c r="B10" s="168" t="s">
        <v>92</v>
      </c>
      <c r="C10" s="169"/>
      <c r="D10" s="170"/>
      <c r="E10" s="171"/>
    </row>
    <row r="11" spans="1:5" ht="15">
      <c r="A11" s="167"/>
      <c r="B11" s="172" t="s">
        <v>93</v>
      </c>
      <c r="C11" s="169"/>
      <c r="D11" s="170"/>
      <c r="E11" s="171"/>
    </row>
    <row r="12" spans="1:5" ht="15">
      <c r="A12" s="167" t="s">
        <v>77</v>
      </c>
      <c r="B12" s="168" t="s">
        <v>94</v>
      </c>
      <c r="C12" s="173">
        <f>C13</f>
        <v>5452.21701</v>
      </c>
      <c r="D12" s="174">
        <f>'18.2'!E17</f>
        <v>10064.87</v>
      </c>
      <c r="E12" s="171">
        <f>E13</f>
        <v>19488.37038</v>
      </c>
    </row>
    <row r="13" spans="1:5" ht="15">
      <c r="A13" s="167"/>
      <c r="B13" s="172" t="s">
        <v>93</v>
      </c>
      <c r="C13" s="173">
        <f>'18.2'!C17</f>
        <v>5452.21701</v>
      </c>
      <c r="D13" s="174">
        <f>D12</f>
        <v>10064.87</v>
      </c>
      <c r="E13" s="171">
        <f>'18.2'!G17</f>
        <v>19488.37038</v>
      </c>
    </row>
    <row r="14" spans="1:5" ht="15">
      <c r="A14" s="167" t="s">
        <v>79</v>
      </c>
      <c r="B14" s="175" t="s">
        <v>95</v>
      </c>
      <c r="C14" s="173"/>
      <c r="D14" s="174"/>
      <c r="E14" s="171"/>
    </row>
    <row r="15" spans="1:5" ht="15">
      <c r="A15" s="167" t="s">
        <v>81</v>
      </c>
      <c r="B15" s="175" t="s">
        <v>96</v>
      </c>
      <c r="C15" s="173"/>
      <c r="D15" s="174"/>
      <c r="E15" s="171"/>
    </row>
    <row r="16" spans="1:5" ht="15">
      <c r="A16" s="167" t="s">
        <v>97</v>
      </c>
      <c r="B16" s="176" t="s">
        <v>98</v>
      </c>
      <c r="C16" s="173"/>
      <c r="D16" s="174"/>
      <c r="E16" s="171"/>
    </row>
    <row r="17" spans="1:5" ht="15">
      <c r="A17" s="167" t="s">
        <v>99</v>
      </c>
      <c r="B17" s="177" t="s">
        <v>100</v>
      </c>
      <c r="C17" s="173"/>
      <c r="D17" s="174"/>
      <c r="E17" s="171"/>
    </row>
    <row r="18" spans="1:6" ht="15">
      <c r="A18" s="167" t="s">
        <v>101</v>
      </c>
      <c r="B18" s="168" t="s">
        <v>102</v>
      </c>
      <c r="C18" s="173">
        <f>'18.2'!C8+'18.2'!C21+'18.2'!C37</f>
        <v>33945.68054044814</v>
      </c>
      <c r="D18" s="174">
        <f>'18.2'!E8+'18.2'!E21+'18.2'!E37</f>
        <v>1498.32</v>
      </c>
      <c r="E18" s="171">
        <f>'18.2'!G8+'18.2'!G21+'18.2'!G37</f>
        <v>41685.627956933095</v>
      </c>
      <c r="F18" s="178">
        <v>24490.55</v>
      </c>
    </row>
    <row r="19" spans="1:5" ht="15">
      <c r="A19" s="167"/>
      <c r="B19" s="168" t="s">
        <v>93</v>
      </c>
      <c r="C19" s="173"/>
      <c r="D19" s="174"/>
      <c r="E19" s="171"/>
    </row>
    <row r="20" spans="1:5" ht="15">
      <c r="A20" s="167" t="s">
        <v>103</v>
      </c>
      <c r="B20" s="168" t="s">
        <v>104</v>
      </c>
      <c r="C20" s="173">
        <f>'18.2'!C10+'18.2'!C22+'18.2'!C38</f>
        <v>9910.38665795365</v>
      </c>
      <c r="D20" s="174">
        <f>D18*0.304</f>
        <v>455.48927999999995</v>
      </c>
      <c r="E20" s="171">
        <f>E18*0.304</f>
        <v>12672.43089890766</v>
      </c>
    </row>
    <row r="21" spans="1:5" ht="15">
      <c r="A21" s="167"/>
      <c r="B21" s="168" t="s">
        <v>93</v>
      </c>
      <c r="C21" s="173"/>
      <c r="D21" s="174"/>
      <c r="E21" s="171"/>
    </row>
    <row r="22" spans="1:5" ht="15">
      <c r="A22" s="167" t="s">
        <v>105</v>
      </c>
      <c r="B22" s="168" t="s">
        <v>106</v>
      </c>
      <c r="C22" s="173">
        <f>'18.2'!C12</f>
        <v>10603.69003</v>
      </c>
      <c r="D22" s="174">
        <f>'18.2'!E12</f>
        <v>10602.7</v>
      </c>
      <c r="E22" s="171">
        <f>'18.2'!G12</f>
        <v>12064.787502619065</v>
      </c>
    </row>
    <row r="23" spans="1:5" ht="15">
      <c r="A23" s="167" t="s">
        <v>107</v>
      </c>
      <c r="B23" s="168" t="s">
        <v>108</v>
      </c>
      <c r="C23" s="173">
        <f>C36-C12-C18-C20-C22</f>
        <v>9145.055882808183</v>
      </c>
      <c r="D23" s="174">
        <f>D36-D12-D18-D20-D22</f>
        <v>4037.2700000000023</v>
      </c>
      <c r="E23" s="171">
        <f>E36-E12-E18-E20-E22</f>
        <v>17126.950442260888</v>
      </c>
    </row>
    <row r="24" spans="1:5" ht="15">
      <c r="A24" s="167" t="s">
        <v>109</v>
      </c>
      <c r="B24" s="176" t="s">
        <v>110</v>
      </c>
      <c r="C24" s="173"/>
      <c r="D24" s="174"/>
      <c r="E24" s="171"/>
    </row>
    <row r="25" spans="1:5" ht="15">
      <c r="A25" s="167" t="s">
        <v>111</v>
      </c>
      <c r="B25" s="176" t="s">
        <v>112</v>
      </c>
      <c r="C25" s="173"/>
      <c r="D25" s="174"/>
      <c r="E25" s="171"/>
    </row>
    <row r="26" spans="1:5" ht="15">
      <c r="A26" s="167" t="s">
        <v>113</v>
      </c>
      <c r="B26" s="177" t="s">
        <v>114</v>
      </c>
      <c r="C26" s="173"/>
      <c r="D26" s="174"/>
      <c r="E26" s="171"/>
    </row>
    <row r="27" spans="1:5" ht="27">
      <c r="A27" s="167" t="s">
        <v>115</v>
      </c>
      <c r="B27" s="176" t="s">
        <v>116</v>
      </c>
      <c r="C27" s="173"/>
      <c r="D27" s="174"/>
      <c r="E27" s="171"/>
    </row>
    <row r="28" spans="1:5" ht="15">
      <c r="A28" s="167" t="s">
        <v>117</v>
      </c>
      <c r="B28" s="172" t="s">
        <v>118</v>
      </c>
      <c r="C28" s="173"/>
      <c r="D28" s="174"/>
      <c r="E28" s="171"/>
    </row>
    <row r="29" spans="1:5" ht="15">
      <c r="A29" s="167" t="s">
        <v>119</v>
      </c>
      <c r="B29" s="172" t="s">
        <v>120</v>
      </c>
      <c r="C29" s="173"/>
      <c r="D29" s="174"/>
      <c r="E29" s="171"/>
    </row>
    <row r="30" spans="1:5" ht="27.75">
      <c r="A30" s="167" t="s">
        <v>121</v>
      </c>
      <c r="B30" s="177" t="s">
        <v>122</v>
      </c>
      <c r="C30" s="173"/>
      <c r="D30" s="174"/>
      <c r="E30" s="171"/>
    </row>
    <row r="31" spans="1:5" ht="15">
      <c r="A31" s="167" t="s">
        <v>123</v>
      </c>
      <c r="B31" s="179" t="s">
        <v>124</v>
      </c>
      <c r="C31" s="173"/>
      <c r="D31" s="174"/>
      <c r="E31" s="171"/>
    </row>
    <row r="32" spans="1:5" ht="15">
      <c r="A32" s="167" t="s">
        <v>125</v>
      </c>
      <c r="B32" s="179" t="s">
        <v>126</v>
      </c>
      <c r="C32" s="173"/>
      <c r="D32" s="174"/>
      <c r="E32" s="171"/>
    </row>
    <row r="33" spans="1:5" ht="15">
      <c r="A33" s="167" t="s">
        <v>127</v>
      </c>
      <c r="B33" s="172" t="s">
        <v>128</v>
      </c>
      <c r="C33" s="173">
        <f>C23</f>
        <v>9145.055882808183</v>
      </c>
      <c r="D33" s="174">
        <f>D23</f>
        <v>4037.2700000000023</v>
      </c>
      <c r="E33" s="171">
        <f>E23</f>
        <v>17126.950442260888</v>
      </c>
    </row>
    <row r="34" spans="1:5" ht="15">
      <c r="A34" s="167" t="s">
        <v>129</v>
      </c>
      <c r="B34" s="179" t="s">
        <v>37</v>
      </c>
      <c r="C34" s="173"/>
      <c r="D34" s="174"/>
      <c r="E34" s="171"/>
    </row>
    <row r="35" spans="1:5" ht="15">
      <c r="A35" s="167" t="s">
        <v>130</v>
      </c>
      <c r="B35" s="179" t="s">
        <v>131</v>
      </c>
      <c r="C35" s="173"/>
      <c r="D35" s="174"/>
      <c r="E35" s="171"/>
    </row>
    <row r="36" spans="1:7" s="186" customFormat="1" ht="15">
      <c r="A36" s="180" t="s">
        <v>132</v>
      </c>
      <c r="B36" s="181" t="s">
        <v>133</v>
      </c>
      <c r="C36" s="182">
        <f>'18.2'!C42+'18.2'!C41-'18.2'!C40</f>
        <v>69057.03012120997</v>
      </c>
      <c r="D36" s="183">
        <f>'18.2'!E42+'18.2'!E41-'18.2'!E40</f>
        <v>26658.64928</v>
      </c>
      <c r="E36" s="184">
        <f>'18.2'!G42-'18.2'!G40</f>
        <v>103038.16718072072</v>
      </c>
      <c r="F36" s="185"/>
      <c r="G36" s="185"/>
    </row>
    <row r="37" spans="1:5" ht="15">
      <c r="A37" s="167"/>
      <c r="B37" s="168" t="s">
        <v>93</v>
      </c>
      <c r="C37" s="173">
        <f>C13</f>
        <v>5452.21701</v>
      </c>
      <c r="D37" s="174">
        <f>D13</f>
        <v>10064.87</v>
      </c>
      <c r="E37" s="171">
        <f>E13</f>
        <v>19488.37038</v>
      </c>
    </row>
    <row r="38" spans="1:5" s="186" customFormat="1" ht="15">
      <c r="A38" s="180" t="s">
        <v>134</v>
      </c>
      <c r="B38" s="181" t="s">
        <v>135</v>
      </c>
      <c r="C38" s="182">
        <f>'18.2'!C40</f>
        <v>10860.200000000012</v>
      </c>
      <c r="D38" s="183">
        <f>'18.2'!E40</f>
        <v>10860.2</v>
      </c>
      <c r="E38" s="184">
        <f>'18.2'!G40</f>
        <v>16286.699123830971</v>
      </c>
    </row>
    <row r="39" spans="1:5" s="186" customFormat="1" ht="15">
      <c r="A39" s="180" t="s">
        <v>136</v>
      </c>
      <c r="B39" s="181" t="s">
        <v>137</v>
      </c>
      <c r="C39" s="182">
        <f>'18.2'!C41</f>
        <v>0</v>
      </c>
      <c r="D39" s="183"/>
      <c r="E39" s="184"/>
    </row>
    <row r="40" spans="1:6" s="186" customFormat="1" ht="15">
      <c r="A40" s="180" t="s">
        <v>138</v>
      </c>
      <c r="B40" s="181" t="s">
        <v>139</v>
      </c>
      <c r="C40" s="182">
        <f>C42</f>
        <v>88623.78307760999</v>
      </c>
      <c r="D40" s="183">
        <f>D42</f>
        <v>47928.75928</v>
      </c>
      <c r="E40" s="184">
        <f>'18.2'!G42+'25'!H31</f>
        <v>131741.02333898668</v>
      </c>
      <c r="F40" s="185"/>
    </row>
    <row r="41" spans="1:5" ht="15">
      <c r="A41" s="167"/>
      <c r="B41" s="168" t="s">
        <v>140</v>
      </c>
      <c r="C41" s="173"/>
      <c r="D41" s="174"/>
      <c r="E41" s="171"/>
    </row>
    <row r="42" spans="1:5" ht="15">
      <c r="A42" s="187" t="s">
        <v>141</v>
      </c>
      <c r="B42" s="168" t="s">
        <v>142</v>
      </c>
      <c r="C42" s="173">
        <f>C44+C45</f>
        <v>88623.78307760999</v>
      </c>
      <c r="D42" s="174">
        <f>D44+D45</f>
        <v>47928.75928</v>
      </c>
      <c r="E42" s="171">
        <f>E40</f>
        <v>131741.02333898668</v>
      </c>
    </row>
    <row r="43" spans="1:5" ht="15">
      <c r="A43" s="187" t="s">
        <v>143</v>
      </c>
      <c r="B43" s="179" t="s">
        <v>144</v>
      </c>
      <c r="C43" s="173"/>
      <c r="D43" s="174"/>
      <c r="E43" s="171"/>
    </row>
    <row r="44" spans="1:5" ht="15">
      <c r="A44" s="187" t="s">
        <v>145</v>
      </c>
      <c r="B44" s="179" t="s">
        <v>146</v>
      </c>
      <c r="C44" s="173">
        <f>'25'!D31</f>
        <v>8706.552956399999</v>
      </c>
      <c r="D44" s="174">
        <f>'25'!E31</f>
        <v>10409.91</v>
      </c>
      <c r="E44" s="171">
        <f>'25'!H31</f>
        <v>12416.157034434997</v>
      </c>
    </row>
    <row r="45" spans="1:6" ht="15">
      <c r="A45" s="187" t="s">
        <v>147</v>
      </c>
      <c r="B45" s="179" t="s">
        <v>148</v>
      </c>
      <c r="C45" s="173">
        <f>C36+C38-C39</f>
        <v>79917.23012120998</v>
      </c>
      <c r="D45" s="174">
        <f>D36+D38-D39</f>
        <v>37518.84928</v>
      </c>
      <c r="E45" s="171">
        <f>'18.2'!G42</f>
        <v>119324.86630455169</v>
      </c>
      <c r="F45" s="178"/>
    </row>
    <row r="46" spans="1:5" ht="15">
      <c r="A46" s="167" t="s">
        <v>149</v>
      </c>
      <c r="B46" s="168" t="s">
        <v>150</v>
      </c>
      <c r="C46" s="173"/>
      <c r="D46" s="170"/>
      <c r="E46" s="171"/>
    </row>
    <row r="47" spans="1:5" ht="15">
      <c r="A47" s="187" t="s">
        <v>151</v>
      </c>
      <c r="B47" s="179" t="s">
        <v>152</v>
      </c>
      <c r="C47" s="173"/>
      <c r="D47" s="170"/>
      <c r="E47" s="188"/>
    </row>
    <row r="48" spans="1:5" ht="15">
      <c r="A48" s="187" t="s">
        <v>153</v>
      </c>
      <c r="B48" s="179" t="s">
        <v>154</v>
      </c>
      <c r="C48" s="173"/>
      <c r="D48" s="170"/>
      <c r="E48" s="188"/>
    </row>
    <row r="49" spans="1:5" ht="15">
      <c r="A49" s="187" t="s">
        <v>155</v>
      </c>
      <c r="B49" s="179" t="s">
        <v>156</v>
      </c>
      <c r="C49" s="173"/>
      <c r="D49" s="189"/>
      <c r="E49" s="190"/>
    </row>
    <row r="50" spans="1:5" ht="15.75" thickBot="1">
      <c r="A50" s="191" t="s">
        <v>157</v>
      </c>
      <c r="B50" s="192" t="s">
        <v>158</v>
      </c>
      <c r="C50" s="193"/>
      <c r="D50" s="194"/>
      <c r="E50" s="195"/>
    </row>
    <row r="51" ht="12.75">
      <c r="A51" s="196"/>
    </row>
    <row r="52" spans="1:5" ht="18" customHeight="1">
      <c r="A52" s="843" t="str">
        <f>6!A36:H36</f>
        <v>Начальник ПЭО</v>
      </c>
      <c r="B52" s="843"/>
      <c r="C52" s="858" t="str">
        <f>6!I36</f>
        <v>М.С. Мироненко</v>
      </c>
      <c r="D52" s="858"/>
      <c r="E52" s="858"/>
    </row>
    <row r="53" ht="12.75">
      <c r="A53" s="196"/>
    </row>
    <row r="54" ht="12.75">
      <c r="A54" s="196"/>
    </row>
    <row r="55" ht="12.75">
      <c r="A55" s="196"/>
    </row>
    <row r="56" ht="12.75">
      <c r="A56" s="196"/>
    </row>
    <row r="57" ht="12.75">
      <c r="A57" s="196"/>
    </row>
    <row r="58" ht="12.75">
      <c r="A58" s="196"/>
    </row>
    <row r="59" ht="12.75">
      <c r="A59" s="196"/>
    </row>
    <row r="60" ht="12.75">
      <c r="A60" s="196"/>
    </row>
    <row r="61" ht="12.75">
      <c r="A61" s="196"/>
    </row>
    <row r="62" ht="12.75">
      <c r="A62" s="196"/>
    </row>
    <row r="63" ht="12.75">
      <c r="A63" s="196"/>
    </row>
    <row r="64" ht="12.75">
      <c r="A64" s="196"/>
    </row>
    <row r="65" ht="12.75">
      <c r="A65" s="196"/>
    </row>
    <row r="66" ht="12.75">
      <c r="A66" s="196"/>
    </row>
    <row r="67" ht="12.75">
      <c r="A67" s="196"/>
    </row>
    <row r="68" ht="12.75">
      <c r="A68" s="196"/>
    </row>
    <row r="69" ht="12.75">
      <c r="A69" s="196"/>
    </row>
    <row r="70" ht="12.75">
      <c r="A70" s="196"/>
    </row>
    <row r="71" ht="12.75">
      <c r="A71" s="196"/>
    </row>
    <row r="72" ht="12.75">
      <c r="A72" s="196"/>
    </row>
    <row r="73" ht="12.75">
      <c r="A73" s="196"/>
    </row>
    <row r="74" ht="12.75">
      <c r="A74" s="196"/>
    </row>
    <row r="75" ht="12.75">
      <c r="A75" s="196"/>
    </row>
    <row r="76" ht="12.75">
      <c r="A76" s="196"/>
    </row>
    <row r="77" ht="12.75">
      <c r="A77" s="196"/>
    </row>
    <row r="78" ht="12.75">
      <c r="A78" s="196"/>
    </row>
  </sheetData>
  <sheetProtection/>
  <mergeCells count="11">
    <mergeCell ref="A52:B52"/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C52:E52"/>
  </mergeCells>
  <printOptions horizontalCentered="1"/>
  <pageMargins left="0.2362204724409449" right="0.2362204724409449" top="0.35433070866141736" bottom="0" header="0" footer="0"/>
  <pageSetup blackAndWhite="1"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O57"/>
  <sheetViews>
    <sheetView showGridLines="0" view="pageBreakPreview" zoomScaleSheetLayoutView="100" zoomScalePageLayoutView="0" workbookViewId="0" topLeftCell="A1">
      <selection activeCell="G20" sqref="G20"/>
    </sheetView>
  </sheetViews>
  <sheetFormatPr defaultColWidth="9.125" defaultRowHeight="12.75" outlineLevelRow="1" outlineLevelCol="1"/>
  <cols>
    <col min="1" max="1" width="5.50390625" style="197" customWidth="1"/>
    <col min="2" max="2" width="47.375" style="197" customWidth="1"/>
    <col min="3" max="3" width="11.00390625" style="197" bestFit="1" customWidth="1"/>
    <col min="4" max="4" width="7.50390625" style="197" customWidth="1"/>
    <col min="5" max="5" width="9.375" style="198" hidden="1" customWidth="1" outlineLevel="1"/>
    <col min="6" max="6" width="7.50390625" style="198" hidden="1" customWidth="1" outlineLevel="1"/>
    <col min="7" max="7" width="12.125" style="198" bestFit="1" customWidth="1" collapsed="1"/>
    <col min="8" max="8" width="8.50390625" style="198" customWidth="1"/>
    <col min="9" max="9" width="12.125" style="198" bestFit="1" customWidth="1"/>
    <col min="10" max="10" width="14.125" style="198" customWidth="1"/>
    <col min="11" max="11" width="12.125" style="198" bestFit="1" customWidth="1"/>
    <col min="12" max="12" width="9.50390625" style="198" customWidth="1"/>
    <col min="13" max="14" width="10.75390625" style="198" customWidth="1"/>
    <col min="15" max="15" width="12.00390625" style="198" customWidth="1"/>
    <col min="16" max="16384" width="9.125" style="198" customWidth="1"/>
  </cols>
  <sheetData>
    <row r="1" ht="16.5">
      <c r="H1" s="157" t="s">
        <v>159</v>
      </c>
    </row>
    <row r="2" spans="1:8" ht="18">
      <c r="A2" s="861" t="s">
        <v>160</v>
      </c>
      <c r="B2" s="861"/>
      <c r="C2" s="861"/>
      <c r="D2" s="861"/>
      <c r="E2" s="861"/>
      <c r="F2" s="861"/>
      <c r="G2" s="861"/>
      <c r="H2" s="861"/>
    </row>
    <row r="3" spans="1:8" ht="17.25">
      <c r="A3" s="862" t="str">
        <f>"по сетям "&amp;'15 (ЭЭ)'!A4</f>
        <v>по сетям ОАО "Электротехнический комплекс"</v>
      </c>
      <c r="B3" s="862"/>
      <c r="C3" s="862"/>
      <c r="D3" s="862"/>
      <c r="E3" s="862"/>
      <c r="F3" s="862"/>
      <c r="G3" s="862"/>
      <c r="H3" s="862"/>
    </row>
    <row r="4" spans="2:8" ht="17.25" thickBot="1">
      <c r="B4" s="199"/>
      <c r="C4" s="199"/>
      <c r="D4" s="199"/>
      <c r="H4" s="157" t="s">
        <v>88</v>
      </c>
    </row>
    <row r="5" spans="1:8" ht="45" customHeight="1">
      <c r="A5" s="863" t="s">
        <v>89</v>
      </c>
      <c r="B5" s="864" t="s">
        <v>161</v>
      </c>
      <c r="C5" s="852" t="str">
        <f>'15 (ЭЭ)'!C6</f>
        <v>Отчетный период
2013 год</v>
      </c>
      <c r="D5" s="866"/>
      <c r="E5" s="867" t="str">
        <f>'15 (ЭЭ)'!D6</f>
        <v>Базовый период
2013 год</v>
      </c>
      <c r="F5" s="868"/>
      <c r="G5" s="852" t="str">
        <f>'15 (ЭЭ)'!E6</f>
        <v>Период регулирования
2015 год</v>
      </c>
      <c r="H5" s="866"/>
    </row>
    <row r="6" spans="1:8" ht="52.5">
      <c r="A6" s="853"/>
      <c r="B6" s="865"/>
      <c r="C6" s="200" t="str">
        <f>E6</f>
        <v>всего</v>
      </c>
      <c r="D6" s="201" t="str">
        <f>F6</f>
        <v>из них расходы     на сбыт</v>
      </c>
      <c r="E6" s="202" t="s">
        <v>15</v>
      </c>
      <c r="F6" s="203" t="s">
        <v>162</v>
      </c>
      <c r="G6" s="200" t="s">
        <v>15</v>
      </c>
      <c r="H6" s="201" t="s">
        <v>162</v>
      </c>
    </row>
    <row r="7" spans="1:8" ht="17.25" thickBot="1">
      <c r="A7" s="204">
        <v>1</v>
      </c>
      <c r="B7" s="205">
        <v>2</v>
      </c>
      <c r="C7" s="206">
        <v>3</v>
      </c>
      <c r="D7" s="207">
        <v>4</v>
      </c>
      <c r="E7" s="208">
        <v>5</v>
      </c>
      <c r="F7" s="209">
        <v>6</v>
      </c>
      <c r="G7" s="210">
        <v>5</v>
      </c>
      <c r="H7" s="207">
        <v>6</v>
      </c>
    </row>
    <row r="8" spans="1:10" ht="16.5">
      <c r="A8" s="211" t="s">
        <v>70</v>
      </c>
      <c r="B8" s="212" t="s">
        <v>163</v>
      </c>
      <c r="C8" s="677">
        <f>'[1]передача ээ'!$V$6</f>
        <v>12582.92697</v>
      </c>
      <c r="D8" s="678"/>
      <c r="E8" s="679">
        <f>C8*K8</f>
        <v>0</v>
      </c>
      <c r="F8" s="680"/>
      <c r="G8" s="681">
        <v>14808.3</v>
      </c>
      <c r="H8" s="213"/>
      <c r="I8" s="214"/>
      <c r="J8" s="214"/>
    </row>
    <row r="9" spans="1:9" ht="16.5">
      <c r="A9" s="215" t="s">
        <v>75</v>
      </c>
      <c r="B9" s="216" t="s">
        <v>164</v>
      </c>
      <c r="C9" s="742"/>
      <c r="D9" s="683"/>
      <c r="E9" s="684"/>
      <c r="F9" s="683"/>
      <c r="G9" s="682"/>
      <c r="H9" s="217"/>
      <c r="I9" s="214"/>
    </row>
    <row r="10" spans="1:14" ht="16.5">
      <c r="A10" s="215" t="s">
        <v>77</v>
      </c>
      <c r="B10" s="216" t="s">
        <v>165</v>
      </c>
      <c r="C10" s="682">
        <f>'[1]передача ээ'!$V$7</f>
        <v>3718.94841</v>
      </c>
      <c r="D10" s="777"/>
      <c r="E10" s="684">
        <f>E8*0.304</f>
        <v>0</v>
      </c>
      <c r="F10" s="683"/>
      <c r="G10" s="682">
        <f>G8*0.302</f>
        <v>4472.1066</v>
      </c>
      <c r="H10" s="217"/>
      <c r="L10" s="218"/>
      <c r="M10" s="218"/>
      <c r="N10" s="218"/>
    </row>
    <row r="11" spans="1:15" ht="24">
      <c r="A11" s="215" t="s">
        <v>79</v>
      </c>
      <c r="B11" s="216" t="s">
        <v>166</v>
      </c>
      <c r="C11" s="682">
        <f>C12+C17+C18</f>
        <v>16055.90704</v>
      </c>
      <c r="D11" s="683"/>
      <c r="E11" s="684">
        <f>E12+E17+E18</f>
        <v>20667.57</v>
      </c>
      <c r="F11" s="683"/>
      <c r="G11" s="682">
        <f>G12+G17+G18</f>
        <v>31553.157882619067</v>
      </c>
      <c r="H11" s="217"/>
      <c r="K11" s="219"/>
      <c r="L11" s="220"/>
      <c r="M11" s="220"/>
      <c r="N11" s="220"/>
      <c r="O11" s="220"/>
    </row>
    <row r="12" spans="1:15" ht="16.5">
      <c r="A12" s="221" t="s">
        <v>167</v>
      </c>
      <c r="B12" s="222" t="s">
        <v>168</v>
      </c>
      <c r="C12" s="682">
        <f>'[1]передача ээ'!$V$9</f>
        <v>10603.69003</v>
      </c>
      <c r="D12" s="683"/>
      <c r="E12" s="684">
        <v>10602.7</v>
      </c>
      <c r="F12" s="683"/>
      <c r="G12" s="682">
        <f>'[2]табл. 1.17 (новая)'!$E$13</f>
        <v>12064.787502619065</v>
      </c>
      <c r="H12" s="217"/>
      <c r="K12" s="219"/>
      <c r="L12" s="220"/>
      <c r="M12" s="220"/>
      <c r="N12" s="220"/>
      <c r="O12" s="220"/>
    </row>
    <row r="13" spans="1:15" ht="16.5" customHeight="1" hidden="1" outlineLevel="1">
      <c r="A13" s="221"/>
      <c r="B13" s="222" t="s">
        <v>16</v>
      </c>
      <c r="C13" s="742"/>
      <c r="D13" s="683"/>
      <c r="E13" s="684"/>
      <c r="F13" s="683"/>
      <c r="G13" s="685"/>
      <c r="H13" s="217"/>
      <c r="K13" s="219"/>
      <c r="L13" s="220"/>
      <c r="M13" s="220"/>
      <c r="N13" s="220"/>
      <c r="O13" s="220"/>
    </row>
    <row r="14" spans="1:15" ht="16.5" customHeight="1" hidden="1" outlineLevel="1">
      <c r="A14" s="221"/>
      <c r="B14" s="222" t="s">
        <v>17</v>
      </c>
      <c r="C14" s="742"/>
      <c r="D14" s="683"/>
      <c r="E14" s="684"/>
      <c r="F14" s="683"/>
      <c r="G14" s="685"/>
      <c r="H14" s="217"/>
      <c r="K14" s="219"/>
      <c r="L14" s="220"/>
      <c r="M14" s="220"/>
      <c r="N14" s="220"/>
      <c r="O14" s="220"/>
    </row>
    <row r="15" spans="1:15" ht="16.5" customHeight="1" hidden="1" outlineLevel="1">
      <c r="A15" s="221"/>
      <c r="B15" s="222" t="s">
        <v>18</v>
      </c>
      <c r="C15" s="742"/>
      <c r="D15" s="683"/>
      <c r="E15" s="684" t="e">
        <f>G15</f>
        <v>#REF!</v>
      </c>
      <c r="F15" s="683"/>
      <c r="G15" s="685" t="e">
        <f>#REF!</f>
        <v>#REF!</v>
      </c>
      <c r="H15" s="217"/>
      <c r="K15" s="219"/>
      <c r="L15" s="220"/>
      <c r="M15" s="220"/>
      <c r="N15" s="220"/>
      <c r="O15" s="220"/>
    </row>
    <row r="16" spans="1:15" ht="16.5" customHeight="1" hidden="1" outlineLevel="1">
      <c r="A16" s="221"/>
      <c r="B16" s="222" t="s">
        <v>19</v>
      </c>
      <c r="C16" s="742"/>
      <c r="D16" s="683"/>
      <c r="E16" s="684"/>
      <c r="F16" s="683"/>
      <c r="G16" s="685"/>
      <c r="H16" s="217"/>
      <c r="K16" s="219"/>
      <c r="L16" s="220"/>
      <c r="M16" s="220"/>
      <c r="N16" s="220"/>
      <c r="O16" s="220"/>
    </row>
    <row r="17" spans="1:15" ht="16.5" collapsed="1">
      <c r="A17" s="221" t="s">
        <v>169</v>
      </c>
      <c r="B17" s="222" t="s">
        <v>170</v>
      </c>
      <c r="C17" s="682">
        <f>'[1]передача ээ'!$V$10</f>
        <v>5452.21701</v>
      </c>
      <c r="D17" s="683"/>
      <c r="E17" s="684">
        <v>10064.87</v>
      </c>
      <c r="F17" s="683"/>
      <c r="G17" s="682">
        <v>19488.37038</v>
      </c>
      <c r="H17" s="217"/>
      <c r="I17" s="214"/>
      <c r="J17" s="214"/>
      <c r="K17" s="219"/>
      <c r="L17" s="220"/>
      <c r="M17" s="220"/>
      <c r="N17" s="220"/>
      <c r="O17" s="220"/>
    </row>
    <row r="18" spans="1:14" ht="24">
      <c r="A18" s="221" t="s">
        <v>171</v>
      </c>
      <c r="B18" s="223" t="s">
        <v>172</v>
      </c>
      <c r="C18" s="742"/>
      <c r="D18" s="683"/>
      <c r="E18" s="685"/>
      <c r="F18" s="683"/>
      <c r="G18" s="682"/>
      <c r="H18" s="217"/>
      <c r="K18" s="219"/>
      <c r="L18" s="224"/>
      <c r="M18" s="224"/>
      <c r="N18" s="224"/>
    </row>
    <row r="19" spans="1:15" ht="24">
      <c r="A19" s="221" t="s">
        <v>81</v>
      </c>
      <c r="B19" s="216" t="s">
        <v>173</v>
      </c>
      <c r="C19" s="742"/>
      <c r="D19" s="683"/>
      <c r="E19" s="685"/>
      <c r="F19" s="683"/>
      <c r="G19" s="682"/>
      <c r="H19" s="217"/>
      <c r="K19" s="219"/>
      <c r="O19" s="220"/>
    </row>
    <row r="20" spans="1:15" ht="16.5">
      <c r="A20" s="221" t="s">
        <v>101</v>
      </c>
      <c r="B20" s="225" t="s">
        <v>174</v>
      </c>
      <c r="C20" s="682">
        <f>'[1]передача ээ'!$V$11-'[1]передача ээ'!$V$20</f>
        <v>25086.744962869503</v>
      </c>
      <c r="D20" s="683"/>
      <c r="E20" s="684">
        <f>E21+E22+E23</f>
        <v>2581.32</v>
      </c>
      <c r="F20" s="683"/>
      <c r="G20" s="682">
        <f>'[2]25 ээ весь'!$E$29</f>
        <v>35371.94867091282</v>
      </c>
      <c r="H20" s="217"/>
      <c r="I20" s="214"/>
      <c r="J20" s="214"/>
      <c r="K20" s="219"/>
      <c r="L20" s="220"/>
      <c r="M20" s="220"/>
      <c r="N20" s="220"/>
      <c r="O20" s="220"/>
    </row>
    <row r="21" spans="1:14" ht="16.5">
      <c r="A21" s="221"/>
      <c r="B21" s="225" t="s">
        <v>175</v>
      </c>
      <c r="C21" s="682">
        <f>'[1]передача ээ'!$V$12</f>
        <v>16790.701439999997</v>
      </c>
      <c r="D21" s="683"/>
      <c r="E21" s="684">
        <f>C21*K8</f>
        <v>0</v>
      </c>
      <c r="F21" s="683"/>
      <c r="G21" s="686">
        <f>'[2]25 ээ весь'!$E$7</f>
        <v>19474.1</v>
      </c>
      <c r="H21" s="217"/>
      <c r="I21" s="214"/>
      <c r="J21" s="214"/>
      <c r="K21" s="226"/>
      <c r="L21" s="224"/>
      <c r="M21" s="224"/>
      <c r="N21" s="224"/>
    </row>
    <row r="22" spans="1:8" ht="16.5">
      <c r="A22" s="221"/>
      <c r="B22" s="222" t="str">
        <f>B10</f>
        <v>Страховые выплаты с ФОТ</v>
      </c>
      <c r="C22" s="682">
        <f>'[1]передача ээ'!$V$13</f>
        <v>4922.379719999999</v>
      </c>
      <c r="D22" s="683"/>
      <c r="E22" s="684">
        <f>E21*0.304</f>
        <v>0</v>
      </c>
      <c r="F22" s="683"/>
      <c r="G22" s="686">
        <f>G21*0.302</f>
        <v>5881.178199999999</v>
      </c>
      <c r="H22" s="217"/>
    </row>
    <row r="23" spans="1:8" ht="16.5">
      <c r="A23" s="221"/>
      <c r="B23" s="222" t="s">
        <v>176</v>
      </c>
      <c r="C23" s="682">
        <f>C20-C21-C22</f>
        <v>3373.663802869507</v>
      </c>
      <c r="D23" s="683"/>
      <c r="E23" s="684">
        <v>2581.32</v>
      </c>
      <c r="F23" s="683"/>
      <c r="G23" s="682">
        <f>G20-G21-G22</f>
        <v>10016.67047091282</v>
      </c>
      <c r="H23" s="217"/>
    </row>
    <row r="24" spans="1:8" ht="16.5">
      <c r="A24" s="221" t="s">
        <v>103</v>
      </c>
      <c r="B24" s="225" t="s">
        <v>177</v>
      </c>
      <c r="C24" s="682">
        <f>'[1]передача ээ'!$V$26</f>
        <v>11612.502738340478</v>
      </c>
      <c r="D24" s="683"/>
      <c r="E24" s="684">
        <f>E37+E38+E39</f>
        <v>3409.75928</v>
      </c>
      <c r="F24" s="683"/>
      <c r="G24" s="682">
        <f>'[2]26 весь'!$U$45</f>
        <v>16832.654027188837</v>
      </c>
      <c r="H24" s="217"/>
    </row>
    <row r="25" spans="1:8" ht="16.5">
      <c r="A25" s="221" t="s">
        <v>178</v>
      </c>
      <c r="B25" s="216" t="s">
        <v>110</v>
      </c>
      <c r="C25" s="742"/>
      <c r="D25" s="683"/>
      <c r="E25" s="684"/>
      <c r="F25" s="683"/>
      <c r="G25" s="682"/>
      <c r="H25" s="217"/>
    </row>
    <row r="26" spans="1:8" ht="16.5">
      <c r="A26" s="221" t="s">
        <v>179</v>
      </c>
      <c r="B26" s="216" t="s">
        <v>180</v>
      </c>
      <c r="C26" s="742"/>
      <c r="D26" s="683"/>
      <c r="E26" s="684"/>
      <c r="F26" s="683"/>
      <c r="G26" s="682"/>
      <c r="H26" s="217"/>
    </row>
    <row r="27" spans="1:8" ht="24">
      <c r="A27" s="221" t="s">
        <v>181</v>
      </c>
      <c r="B27" s="216" t="s">
        <v>182</v>
      </c>
      <c r="C27" s="742"/>
      <c r="D27" s="683"/>
      <c r="E27" s="684"/>
      <c r="F27" s="683"/>
      <c r="G27" s="682"/>
      <c r="H27" s="217"/>
    </row>
    <row r="28" spans="1:8" ht="16.5">
      <c r="A28" s="221" t="s">
        <v>183</v>
      </c>
      <c r="B28" s="216" t="s">
        <v>184</v>
      </c>
      <c r="C28" s="742"/>
      <c r="D28" s="683"/>
      <c r="E28" s="684"/>
      <c r="F28" s="683"/>
      <c r="G28" s="682"/>
      <c r="H28" s="217"/>
    </row>
    <row r="29" spans="1:8" ht="24">
      <c r="A29" s="221" t="s">
        <v>185</v>
      </c>
      <c r="B29" s="216" t="s">
        <v>186</v>
      </c>
      <c r="C29" s="742"/>
      <c r="D29" s="683"/>
      <c r="E29" s="684"/>
      <c r="F29" s="683"/>
      <c r="G29" s="682"/>
      <c r="H29" s="217"/>
    </row>
    <row r="30" spans="1:8" ht="16.5">
      <c r="A30" s="221"/>
      <c r="B30" s="216" t="s">
        <v>187</v>
      </c>
      <c r="C30" s="742"/>
      <c r="D30" s="683"/>
      <c r="E30" s="684"/>
      <c r="F30" s="683"/>
      <c r="G30" s="682"/>
      <c r="H30" s="217"/>
    </row>
    <row r="31" spans="1:8" ht="16.5" customHeight="1" hidden="1" outlineLevel="1">
      <c r="A31" s="221"/>
      <c r="B31" s="225" t="s">
        <v>16</v>
      </c>
      <c r="C31" s="742"/>
      <c r="D31" s="683"/>
      <c r="E31" s="684"/>
      <c r="F31" s="683"/>
      <c r="G31" s="682"/>
      <c r="H31" s="217"/>
    </row>
    <row r="32" spans="1:8" ht="16.5" customHeight="1" hidden="1" outlineLevel="1">
      <c r="A32" s="221"/>
      <c r="B32" s="225" t="s">
        <v>17</v>
      </c>
      <c r="C32" s="742"/>
      <c r="D32" s="683"/>
      <c r="E32" s="684"/>
      <c r="F32" s="683"/>
      <c r="G32" s="682"/>
      <c r="H32" s="217"/>
    </row>
    <row r="33" spans="1:8" ht="16.5" customHeight="1" hidden="1" outlineLevel="1">
      <c r="A33" s="221"/>
      <c r="B33" s="225" t="s">
        <v>18</v>
      </c>
      <c r="C33" s="742"/>
      <c r="D33" s="683"/>
      <c r="E33" s="684"/>
      <c r="F33" s="683"/>
      <c r="G33" s="682"/>
      <c r="H33" s="217"/>
    </row>
    <row r="34" spans="1:8" ht="16.5" customHeight="1" hidden="1" outlineLevel="1">
      <c r="A34" s="221"/>
      <c r="B34" s="225" t="s">
        <v>19</v>
      </c>
      <c r="C34" s="742"/>
      <c r="D34" s="683"/>
      <c r="E34" s="684"/>
      <c r="F34" s="683"/>
      <c r="G34" s="682"/>
      <c r="H34" s="217"/>
    </row>
    <row r="35" spans="1:8" ht="24" collapsed="1">
      <c r="A35" s="221" t="s">
        <v>188</v>
      </c>
      <c r="B35" s="216" t="s">
        <v>189</v>
      </c>
      <c r="C35" s="682">
        <f>C24</f>
        <v>11612.502738340478</v>
      </c>
      <c r="D35" s="683"/>
      <c r="E35" s="684">
        <f>E37+E38+E39</f>
        <v>3409.75928</v>
      </c>
      <c r="F35" s="683"/>
      <c r="G35" s="682">
        <f>G24</f>
        <v>16832.654027188837</v>
      </c>
      <c r="H35" s="217"/>
    </row>
    <row r="36" spans="1:8" ht="16.5">
      <c r="A36" s="221" t="s">
        <v>190</v>
      </c>
      <c r="B36" s="223" t="s">
        <v>131</v>
      </c>
      <c r="C36" s="742"/>
      <c r="D36" s="683"/>
      <c r="E36" s="684"/>
      <c r="F36" s="683"/>
      <c r="G36" s="685"/>
      <c r="H36" s="217"/>
    </row>
    <row r="37" spans="1:8" ht="16.5">
      <c r="A37" s="221" t="s">
        <v>191</v>
      </c>
      <c r="B37" s="222" t="s">
        <v>192</v>
      </c>
      <c r="C37" s="682">
        <f>'[1]передача ээ'!$V$31</f>
        <v>4572.052130448144</v>
      </c>
      <c r="D37" s="683"/>
      <c r="E37" s="684">
        <v>1498.32</v>
      </c>
      <c r="F37" s="683"/>
      <c r="G37" s="682">
        <f>'[2]26 весь'!$U$5</f>
        <v>7403.227956933097</v>
      </c>
      <c r="H37" s="217"/>
    </row>
    <row r="38" spans="1:8" ht="16.5">
      <c r="A38" s="221" t="s">
        <v>193</v>
      </c>
      <c r="B38" s="222" t="str">
        <f>B22</f>
        <v>Страховые выплаты с ФОТ</v>
      </c>
      <c r="C38" s="682">
        <f>'[1]передача ээ'!$V$32</f>
        <v>1269.058527953651</v>
      </c>
      <c r="D38" s="683"/>
      <c r="E38" s="684">
        <f>E37*0.304</f>
        <v>455.48927999999995</v>
      </c>
      <c r="F38" s="683"/>
      <c r="G38" s="682">
        <f>G37*0.302</f>
        <v>2235.774842993795</v>
      </c>
      <c r="H38" s="217"/>
    </row>
    <row r="39" spans="1:8" ht="16.5">
      <c r="A39" s="221" t="s">
        <v>194</v>
      </c>
      <c r="B39" s="222" t="s">
        <v>176</v>
      </c>
      <c r="C39" s="682">
        <f>C35-C37-C38</f>
        <v>5771.392079938682</v>
      </c>
      <c r="D39" s="683"/>
      <c r="E39" s="684">
        <v>1455.95</v>
      </c>
      <c r="F39" s="683"/>
      <c r="G39" s="682">
        <f>G35-G37-G38</f>
        <v>7193.651227261946</v>
      </c>
      <c r="H39" s="217"/>
    </row>
    <row r="40" spans="1:9" ht="16.5">
      <c r="A40" s="221" t="s">
        <v>105</v>
      </c>
      <c r="B40" s="216" t="s">
        <v>195</v>
      </c>
      <c r="C40" s="745">
        <f>'2012 факт ЭЭ'!C18</f>
        <v>10860.200000000012</v>
      </c>
      <c r="D40" s="683"/>
      <c r="E40" s="684">
        <v>10860.2</v>
      </c>
      <c r="F40" s="683"/>
      <c r="G40" s="682">
        <f>-'2012 факт ЭЭ'!D33</f>
        <v>16286.699123830971</v>
      </c>
      <c r="H40" s="217"/>
      <c r="I40" s="214"/>
    </row>
    <row r="41" spans="1:9" ht="24">
      <c r="A41" s="221" t="s">
        <v>107</v>
      </c>
      <c r="B41" s="216" t="s">
        <v>137</v>
      </c>
      <c r="C41" s="742"/>
      <c r="D41" s="683"/>
      <c r="E41" s="685"/>
      <c r="F41" s="683"/>
      <c r="G41" s="685"/>
      <c r="H41" s="217"/>
      <c r="I41" s="214"/>
    </row>
    <row r="42" spans="1:11" s="232" customFormat="1" ht="16.5">
      <c r="A42" s="227" t="s">
        <v>132</v>
      </c>
      <c r="B42" s="228" t="s">
        <v>196</v>
      </c>
      <c r="C42" s="687">
        <f>C11+C24+C8+C10+C40-C41+C20</f>
        <v>79917.23012120998</v>
      </c>
      <c r="D42" s="688"/>
      <c r="E42" s="687">
        <f>E11+E24+E8+E10+E40-E41+E20</f>
        <v>37518.84928</v>
      </c>
      <c r="F42" s="689"/>
      <c r="G42" s="687">
        <f>G11+G24+G8+G10+G40-G41+G20</f>
        <v>119324.86630455169</v>
      </c>
      <c r="H42" s="229"/>
      <c r="I42" s="230">
        <f>G42+G41-G40</f>
        <v>103038.16718072072</v>
      </c>
      <c r="J42" s="231" t="s">
        <v>197</v>
      </c>
      <c r="K42" s="230">
        <f>I42+'21.3'!G43</f>
        <v>124368.06508530676</v>
      </c>
    </row>
    <row r="43" spans="1:8" ht="16.5" customHeight="1" hidden="1" outlineLevel="1">
      <c r="A43" s="221"/>
      <c r="B43" s="233" t="s">
        <v>140</v>
      </c>
      <c r="C43" s="743"/>
      <c r="D43" s="688"/>
      <c r="E43" s="690"/>
      <c r="F43" s="688"/>
      <c r="G43" s="690"/>
      <c r="H43" s="229"/>
    </row>
    <row r="44" spans="1:8" ht="16.5" customHeight="1" hidden="1" outlineLevel="1">
      <c r="A44" s="221"/>
      <c r="B44" s="225" t="s">
        <v>16</v>
      </c>
      <c r="C44" s="743"/>
      <c r="D44" s="688"/>
      <c r="E44" s="690"/>
      <c r="F44" s="688"/>
      <c r="G44" s="690"/>
      <c r="H44" s="229"/>
    </row>
    <row r="45" spans="1:8" ht="16.5" customHeight="1" hidden="1" outlineLevel="1">
      <c r="A45" s="221"/>
      <c r="B45" s="225" t="s">
        <v>17</v>
      </c>
      <c r="C45" s="743"/>
      <c r="D45" s="688"/>
      <c r="E45" s="690"/>
      <c r="F45" s="688"/>
      <c r="G45" s="690"/>
      <c r="H45" s="229"/>
    </row>
    <row r="46" spans="1:8" ht="16.5" customHeight="1" hidden="1" outlineLevel="1">
      <c r="A46" s="221"/>
      <c r="B46" s="225" t="s">
        <v>18</v>
      </c>
      <c r="C46" s="743"/>
      <c r="D46" s="688"/>
      <c r="E46" s="690"/>
      <c r="F46" s="688"/>
      <c r="G46" s="690"/>
      <c r="H46" s="229"/>
    </row>
    <row r="47" spans="1:8" ht="16.5" customHeight="1" hidden="1" outlineLevel="1">
      <c r="A47" s="221"/>
      <c r="B47" s="225" t="s">
        <v>19</v>
      </c>
      <c r="C47" s="743"/>
      <c r="D47" s="688"/>
      <c r="E47" s="690"/>
      <c r="F47" s="688"/>
      <c r="G47" s="690"/>
      <c r="H47" s="229"/>
    </row>
    <row r="48" spans="1:8" ht="16.5" collapsed="1">
      <c r="A48" s="221" t="s">
        <v>134</v>
      </c>
      <c r="B48" s="234" t="s">
        <v>198</v>
      </c>
      <c r="C48" s="742">
        <f>4!E27</f>
        <v>412.879</v>
      </c>
      <c r="D48" s="683"/>
      <c r="E48" s="682">
        <f>4!J27</f>
        <v>412.43</v>
      </c>
      <c r="F48" s="683"/>
      <c r="G48" s="682">
        <f>6!C33</f>
        <v>414.6298</v>
      </c>
      <c r="H48" s="217"/>
    </row>
    <row r="49" spans="1:8" ht="16.5">
      <c r="A49" s="221" t="s">
        <v>136</v>
      </c>
      <c r="B49" s="235" t="s">
        <v>199</v>
      </c>
      <c r="C49" s="682">
        <f>C42/C48*1000</f>
        <v>193560.89828063422</v>
      </c>
      <c r="D49" s="688"/>
      <c r="E49" s="682">
        <f>E42/E48*1000</f>
        <v>90970.22350459473</v>
      </c>
      <c r="F49" s="689"/>
      <c r="G49" s="682">
        <f>G42/G48*1000</f>
        <v>287786.51776729914</v>
      </c>
      <c r="H49" s="229"/>
    </row>
    <row r="50" spans="1:8" ht="16.5">
      <c r="A50" s="221" t="s">
        <v>138</v>
      </c>
      <c r="B50" s="234" t="s">
        <v>200</v>
      </c>
      <c r="C50" s="682">
        <f>C42</f>
        <v>79917.23012120998</v>
      </c>
      <c r="D50" s="688"/>
      <c r="E50" s="682">
        <f>E42</f>
        <v>37518.84928</v>
      </c>
      <c r="F50" s="689"/>
      <c r="G50" s="682">
        <f>G42</f>
        <v>119324.86630455169</v>
      </c>
      <c r="H50" s="229"/>
    </row>
    <row r="51" spans="1:8" ht="16.5">
      <c r="A51" s="221" t="s">
        <v>141</v>
      </c>
      <c r="B51" s="235" t="s">
        <v>201</v>
      </c>
      <c r="C51" s="682">
        <f>C24</f>
        <v>11612.502738340478</v>
      </c>
      <c r="D51" s="688"/>
      <c r="E51" s="682">
        <f>E24</f>
        <v>3409.75928</v>
      </c>
      <c r="F51" s="689"/>
      <c r="G51" s="682">
        <f>G24</f>
        <v>16832.654027188837</v>
      </c>
      <c r="H51" s="229"/>
    </row>
    <row r="52" spans="1:8" ht="24" thickBot="1">
      <c r="A52" s="236" t="s">
        <v>202</v>
      </c>
      <c r="B52" s="237" t="str">
        <f>'15 (ЭЭ)'!B27</f>
        <v>Оплата за услуги по организации функционирования и развитию ЕЭС России, ОДУ в электроэнергетике…</v>
      </c>
      <c r="C52" s="744"/>
      <c r="D52" s="692"/>
      <c r="E52" s="691"/>
      <c r="F52" s="692"/>
      <c r="G52" s="691"/>
      <c r="H52" s="238"/>
    </row>
    <row r="53" spans="2:4" ht="16.5">
      <c r="B53" s="239"/>
      <c r="C53" s="240"/>
      <c r="D53" s="239"/>
    </row>
    <row r="54" spans="1:8" ht="40.5" customHeight="1">
      <c r="A54" s="859" t="str">
        <f>'15 (ЭЭ)'!A52:B52</f>
        <v>Начальник ПЭО</v>
      </c>
      <c r="B54" s="859"/>
      <c r="C54" s="240"/>
      <c r="D54" s="239"/>
      <c r="E54" s="860" t="str">
        <f>'15 (ЭЭ)'!C52</f>
        <v>М.С. Мироненко</v>
      </c>
      <c r="F54" s="860"/>
      <c r="G54" s="860"/>
      <c r="H54" s="860"/>
    </row>
    <row r="55" spans="2:4" ht="16.5">
      <c r="B55" s="239"/>
      <c r="C55" s="240"/>
      <c r="D55" s="239"/>
    </row>
    <row r="56" spans="2:4" ht="16.5">
      <c r="B56" s="239"/>
      <c r="C56" s="240"/>
      <c r="D56" s="239"/>
    </row>
    <row r="57" spans="2:4" ht="16.5">
      <c r="B57" s="239"/>
      <c r="C57" s="240"/>
      <c r="D57" s="239"/>
    </row>
  </sheetData>
  <sheetProtection/>
  <mergeCells count="9">
    <mergeCell ref="A54:B54"/>
    <mergeCell ref="E54:H54"/>
    <mergeCell ref="A2:H2"/>
    <mergeCell ref="A3:H3"/>
    <mergeCell ref="A5:A6"/>
    <mergeCell ref="B5:B6"/>
    <mergeCell ref="C5:D5"/>
    <mergeCell ref="E5:F5"/>
    <mergeCell ref="G5:H5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1"/>
  <sheetViews>
    <sheetView tabSelected="1" view="pageBreakPreview" zoomScale="115" zoomScaleSheetLayoutView="115" zoomScalePageLayoutView="0" workbookViewId="0" topLeftCell="A1">
      <selection activeCell="D7" sqref="D7"/>
    </sheetView>
  </sheetViews>
  <sheetFormatPr defaultColWidth="9.00390625" defaultRowHeight="12.75"/>
  <cols>
    <col min="1" max="1" width="6.625" style="0" bestFit="1" customWidth="1"/>
    <col min="2" max="2" width="49.50390625" style="0" customWidth="1"/>
    <col min="3" max="3" width="9.375" style="0" customWidth="1"/>
    <col min="4" max="4" width="10.375" style="0" customWidth="1"/>
    <col min="5" max="5" width="9.00390625" style="0" bestFit="1" customWidth="1"/>
    <col min="6" max="6" width="8.75390625" style="0" bestFit="1" customWidth="1"/>
    <col min="7" max="7" width="9.375" style="0" bestFit="1" customWidth="1"/>
  </cols>
  <sheetData>
    <row r="1" spans="1:5" ht="28.5" customHeight="1">
      <c r="A1" s="876" t="s">
        <v>447</v>
      </c>
      <c r="B1" s="876"/>
      <c r="C1" s="876"/>
      <c r="D1" s="876"/>
      <c r="E1" s="876"/>
    </row>
    <row r="2" spans="1:5" ht="13.5" thickBot="1">
      <c r="A2" s="877" t="s">
        <v>88</v>
      </c>
      <c r="B2" s="877"/>
      <c r="C2" s="877"/>
      <c r="D2" s="877"/>
      <c r="E2" s="877"/>
    </row>
    <row r="3" spans="1:5" ht="16.5" customHeight="1" thickBot="1">
      <c r="A3" s="878" t="s">
        <v>203</v>
      </c>
      <c r="B3" s="878" t="s">
        <v>204</v>
      </c>
      <c r="C3" s="880">
        <v>2013</v>
      </c>
      <c r="D3" s="881"/>
      <c r="E3" s="882"/>
    </row>
    <row r="4" spans="1:5" ht="12.75" customHeight="1">
      <c r="A4" s="879"/>
      <c r="B4" s="879"/>
      <c r="C4" s="883" t="s">
        <v>448</v>
      </c>
      <c r="D4" s="886" t="s">
        <v>449</v>
      </c>
      <c r="E4" s="889" t="s">
        <v>205</v>
      </c>
    </row>
    <row r="5" spans="1:5" ht="12.75" customHeight="1">
      <c r="A5" s="879"/>
      <c r="B5" s="879"/>
      <c r="C5" s="884"/>
      <c r="D5" s="887"/>
      <c r="E5" s="890"/>
    </row>
    <row r="6" spans="1:5" ht="13.5" customHeight="1" thickBot="1">
      <c r="A6" s="879"/>
      <c r="B6" s="879"/>
      <c r="C6" s="885"/>
      <c r="D6" s="888"/>
      <c r="E6" s="891"/>
    </row>
    <row r="7" spans="1:5" ht="15" customHeight="1" thickBot="1">
      <c r="A7" s="241">
        <v>1</v>
      </c>
      <c r="B7" s="242">
        <f>A7+1</f>
        <v>2</v>
      </c>
      <c r="C7" s="243">
        <f>B7+1</f>
        <v>3</v>
      </c>
      <c r="D7" s="244">
        <f>C7+1</f>
        <v>4</v>
      </c>
      <c r="E7" s="245" t="s">
        <v>206</v>
      </c>
    </row>
    <row r="8" spans="1:5" ht="13.5">
      <c r="A8" s="246" t="s">
        <v>70</v>
      </c>
      <c r="B8" s="247" t="s">
        <v>207</v>
      </c>
      <c r="C8" s="248">
        <f>'[1]передача ээ'!$C$6</f>
        <v>9036.57</v>
      </c>
      <c r="D8" s="249">
        <f>'18.2'!C8</f>
        <v>12582.92697</v>
      </c>
      <c r="E8" s="250">
        <f aca="true" t="shared" si="0" ref="E8:E13">D8-C8</f>
        <v>3546.3569700000007</v>
      </c>
    </row>
    <row r="9" spans="1:5" ht="13.5">
      <c r="A9" s="251" t="s">
        <v>75</v>
      </c>
      <c r="B9" s="252" t="s">
        <v>208</v>
      </c>
      <c r="C9" s="253">
        <f>'[1]передача ээ'!$C$7</f>
        <v>2778.0299999999997</v>
      </c>
      <c r="D9" s="254">
        <f>'18.2'!C10</f>
        <v>3718.94841</v>
      </c>
      <c r="E9" s="255">
        <f t="shared" si="0"/>
        <v>940.9184100000002</v>
      </c>
    </row>
    <row r="10" spans="1:5" ht="13.5">
      <c r="A10" s="256" t="s">
        <v>77</v>
      </c>
      <c r="B10" s="257" t="s">
        <v>209</v>
      </c>
      <c r="C10" s="253">
        <f>C11+C12</f>
        <v>20712.74</v>
      </c>
      <c r="D10" s="254">
        <f>D11+D12</f>
        <v>16055.90704</v>
      </c>
      <c r="E10" s="255">
        <f t="shared" si="0"/>
        <v>-4656.832960000002</v>
      </c>
    </row>
    <row r="11" spans="1:5" ht="13.5">
      <c r="A11" s="251" t="s">
        <v>210</v>
      </c>
      <c r="B11" s="258" t="s">
        <v>211</v>
      </c>
      <c r="C11" s="253">
        <f>'[1]передача ээ'!$C$9</f>
        <v>10602.7</v>
      </c>
      <c r="D11" s="254">
        <f>'18.2'!C12</f>
        <v>10603.69003</v>
      </c>
      <c r="E11" s="255">
        <f t="shared" si="0"/>
        <v>0.9900299999990239</v>
      </c>
    </row>
    <row r="12" spans="1:5" ht="14.25" customHeight="1">
      <c r="A12" s="251" t="s">
        <v>212</v>
      </c>
      <c r="B12" s="258" t="s">
        <v>170</v>
      </c>
      <c r="C12" s="253">
        <f>'[1]передача ээ'!$C$10+'[1]передача ээ'!$C$14</f>
        <v>10110.04</v>
      </c>
      <c r="D12" s="254">
        <f>'18.2'!C17</f>
        <v>5452.21701</v>
      </c>
      <c r="E12" s="255">
        <f t="shared" si="0"/>
        <v>-4657.822990000001</v>
      </c>
    </row>
    <row r="13" spans="1:7" ht="13.5">
      <c r="A13" s="251" t="s">
        <v>101</v>
      </c>
      <c r="B13" s="252" t="s">
        <v>174</v>
      </c>
      <c r="C13" s="253">
        <f>'[1]передача ээ'!$C$11-'[1]передача ээ'!$C$20-'[1]передача ээ'!$C$15</f>
        <v>20575.019999999982</v>
      </c>
      <c r="D13" s="254">
        <f>'18.2'!C20+'18.2'!C18</f>
        <v>25086.744962869503</v>
      </c>
      <c r="E13" s="255">
        <f t="shared" si="0"/>
        <v>4511.724962869521</v>
      </c>
      <c r="F13" s="259"/>
      <c r="G13" s="260"/>
    </row>
    <row r="14" spans="1:5" ht="12.75" customHeight="1" hidden="1">
      <c r="A14" s="261"/>
      <c r="B14" s="262" t="s">
        <v>213</v>
      </c>
      <c r="C14" s="253"/>
      <c r="D14" s="263"/>
      <c r="E14" s="264"/>
    </row>
    <row r="15" spans="1:5" ht="12.75" customHeight="1" hidden="1">
      <c r="A15" s="261"/>
      <c r="B15" s="262" t="s">
        <v>214</v>
      </c>
      <c r="C15" s="253"/>
      <c r="D15" s="263"/>
      <c r="E15" s="264">
        <f aca="true" t="shared" si="1" ref="E15:E25">D15-C15</f>
        <v>0</v>
      </c>
    </row>
    <row r="16" spans="1:8" s="268" customFormat="1" ht="13.5">
      <c r="A16" s="251" t="s">
        <v>103</v>
      </c>
      <c r="B16" s="265" t="s">
        <v>215</v>
      </c>
      <c r="C16" s="253">
        <f>'[1]передача ээ'!$C$26</f>
        <v>3538.17</v>
      </c>
      <c r="D16" s="254">
        <f>'18.2'!C24</f>
        <v>11612.502738340478</v>
      </c>
      <c r="E16" s="255">
        <f t="shared" si="1"/>
        <v>8074.332738340478</v>
      </c>
      <c r="F16" s="259"/>
      <c r="G16" s="266"/>
      <c r="H16" s="267"/>
    </row>
    <row r="17" spans="1:5" s="268" customFormat="1" ht="12.75">
      <c r="A17" s="269"/>
      <c r="B17" s="270" t="s">
        <v>216</v>
      </c>
      <c r="C17" s="253">
        <v>0</v>
      </c>
      <c r="D17" s="254">
        <v>0</v>
      </c>
      <c r="E17" s="255">
        <f t="shared" si="1"/>
        <v>0</v>
      </c>
    </row>
    <row r="18" spans="1:5" s="268" customFormat="1" ht="12.75" customHeight="1">
      <c r="A18" s="269"/>
      <c r="B18" s="270" t="s">
        <v>217</v>
      </c>
      <c r="C18" s="253">
        <f>'[1]передача ээ'!$C$60</f>
        <v>10860.200000000012</v>
      </c>
      <c r="D18" s="254">
        <f>C18</f>
        <v>10860.200000000012</v>
      </c>
      <c r="E18" s="255">
        <f t="shared" si="1"/>
        <v>0</v>
      </c>
    </row>
    <row r="19" spans="1:5" s="276" customFormat="1" ht="13.5">
      <c r="A19" s="271" t="s">
        <v>107</v>
      </c>
      <c r="B19" s="272" t="s">
        <v>218</v>
      </c>
      <c r="C19" s="273">
        <f>C8+C9+C10+C13+C16-C17+C18</f>
        <v>67500.73</v>
      </c>
      <c r="D19" s="274">
        <f>D8+D9+D10+D13+D16-D17+D18</f>
        <v>79917.23012121</v>
      </c>
      <c r="E19" s="275">
        <f t="shared" si="1"/>
        <v>12416.500121210003</v>
      </c>
    </row>
    <row r="20" spans="1:5" s="276" customFormat="1" ht="13.5">
      <c r="A20" s="271" t="s">
        <v>132</v>
      </c>
      <c r="B20" s="272" t="s">
        <v>219</v>
      </c>
      <c r="C20" s="277">
        <f>'[1]передача ээ'!$C$45</f>
        <v>685.5</v>
      </c>
      <c r="D20" s="274">
        <f>'21.3'!C43</f>
        <v>8168.079954187125</v>
      </c>
      <c r="E20" s="275">
        <f t="shared" si="1"/>
        <v>7482.579954187125</v>
      </c>
    </row>
    <row r="21" spans="1:5" s="283" customFormat="1" ht="12.75">
      <c r="A21" s="278"/>
      <c r="B21" s="279" t="s">
        <v>220</v>
      </c>
      <c r="C21" s="280"/>
      <c r="D21" s="281">
        <f>'21.3'!C14</f>
        <v>3788.473269999997</v>
      </c>
      <c r="E21" s="282">
        <f t="shared" si="1"/>
        <v>3788.473269999997</v>
      </c>
    </row>
    <row r="22" spans="1:8" s="283" customFormat="1" ht="12.75">
      <c r="A22" s="278"/>
      <c r="B22" s="279" t="s">
        <v>221</v>
      </c>
      <c r="C22" s="280"/>
      <c r="D22" s="281">
        <f>'21.3'!C25</f>
        <v>3805.888155698348</v>
      </c>
      <c r="E22" s="282">
        <f t="shared" si="1"/>
        <v>3805.888155698348</v>
      </c>
      <c r="F22" s="284"/>
      <c r="G22" s="284"/>
      <c r="H22" s="284"/>
    </row>
    <row r="23" spans="1:8" s="283" customFormat="1" ht="12.75">
      <c r="A23" s="278"/>
      <c r="B23" s="279" t="s">
        <v>222</v>
      </c>
      <c r="C23" s="280">
        <f>C20</f>
        <v>685.5</v>
      </c>
      <c r="D23" s="281">
        <f>D20-D21-D22</f>
        <v>573.7185284887801</v>
      </c>
      <c r="E23" s="282">
        <f t="shared" si="1"/>
        <v>-111.78147151121993</v>
      </c>
      <c r="F23" s="284"/>
      <c r="G23" s="284"/>
      <c r="H23" s="284"/>
    </row>
    <row r="24" spans="1:8" s="276" customFormat="1" ht="13.5">
      <c r="A24" s="271" t="s">
        <v>134</v>
      </c>
      <c r="B24" s="285" t="s">
        <v>223</v>
      </c>
      <c r="C24" s="277">
        <f>C19+C20</f>
        <v>68186.23</v>
      </c>
      <c r="D24" s="274">
        <f>D19+D20</f>
        <v>88085.31007539712</v>
      </c>
      <c r="E24" s="275">
        <f t="shared" si="1"/>
        <v>19899.080075397127</v>
      </c>
      <c r="F24" s="286"/>
      <c r="G24" s="286"/>
      <c r="H24" s="286"/>
    </row>
    <row r="25" spans="1:8" s="268" customFormat="1" ht="13.5">
      <c r="A25" s="251" t="s">
        <v>136</v>
      </c>
      <c r="B25" s="257" t="s">
        <v>224</v>
      </c>
      <c r="C25" s="253">
        <f>'[1]передача ээ'!$C$54</f>
        <v>10409.91</v>
      </c>
      <c r="D25" s="254">
        <f>'[1]передача ээ'!$V$54</f>
        <v>8706.552956399999</v>
      </c>
      <c r="E25" s="255">
        <f t="shared" si="1"/>
        <v>-1703.357043600001</v>
      </c>
      <c r="F25" s="871"/>
      <c r="G25" s="871"/>
      <c r="H25" s="287"/>
    </row>
    <row r="26" spans="1:8" ht="13.5">
      <c r="A26" s="288" t="s">
        <v>138</v>
      </c>
      <c r="B26" s="285" t="s">
        <v>225</v>
      </c>
      <c r="C26" s="289"/>
      <c r="D26" s="290"/>
      <c r="E26" s="255"/>
      <c r="F26" s="291"/>
      <c r="G26" s="292"/>
      <c r="H26" s="292"/>
    </row>
    <row r="27" spans="1:8" s="283" customFormat="1" ht="12.75">
      <c r="A27" s="293"/>
      <c r="B27" s="294" t="s">
        <v>226</v>
      </c>
      <c r="C27" s="280">
        <f>204.16+198.92</f>
        <v>403.08</v>
      </c>
      <c r="D27" s="281">
        <f>4!E27</f>
        <v>412.879</v>
      </c>
      <c r="E27" s="282">
        <f aca="true" t="shared" si="2" ref="E27:E33">D27-C27</f>
        <v>9.799000000000035</v>
      </c>
      <c r="F27" s="284"/>
      <c r="G27" s="295"/>
      <c r="H27" s="295"/>
    </row>
    <row r="28" spans="1:8" s="283" customFormat="1" ht="12.75">
      <c r="A28" s="293"/>
      <c r="B28" s="294" t="s">
        <v>227</v>
      </c>
      <c r="C28" s="280">
        <v>59.144</v>
      </c>
      <c r="D28" s="281">
        <f>5!E23</f>
        <v>58.032999999999994</v>
      </c>
      <c r="E28" s="282">
        <f t="shared" si="2"/>
        <v>-1.1110000000000042</v>
      </c>
      <c r="F28" s="296"/>
      <c r="G28" s="295"/>
      <c r="H28" s="295"/>
    </row>
    <row r="29" spans="1:8" ht="13.5">
      <c r="A29" s="288" t="s">
        <v>202</v>
      </c>
      <c r="B29" s="285" t="s">
        <v>228</v>
      </c>
      <c r="C29" s="750">
        <f>C24/C28/12*1000-0.01</f>
        <v>96073.7393800442</v>
      </c>
      <c r="D29" s="290">
        <f>C29</f>
        <v>96073.7393800442</v>
      </c>
      <c r="E29" s="255">
        <f t="shared" si="2"/>
        <v>0</v>
      </c>
      <c r="F29" s="297"/>
      <c r="G29" s="297"/>
      <c r="H29" s="297"/>
    </row>
    <row r="30" spans="1:8" s="268" customFormat="1" ht="13.5">
      <c r="A30" s="256"/>
      <c r="B30" s="257" t="s">
        <v>229</v>
      </c>
      <c r="C30" s="750">
        <f>C25/C27</f>
        <v>25.825915451027093</v>
      </c>
      <c r="D30" s="290">
        <f>C30</f>
        <v>25.825915451027093</v>
      </c>
      <c r="E30" s="255">
        <f t="shared" si="2"/>
        <v>0</v>
      </c>
      <c r="F30" s="287"/>
      <c r="G30" s="287"/>
      <c r="H30" s="287"/>
    </row>
    <row r="31" spans="1:8" ht="13.5">
      <c r="A31" s="288" t="s">
        <v>230</v>
      </c>
      <c r="B31" s="285" t="s">
        <v>231</v>
      </c>
      <c r="C31" s="749">
        <f>'[1]передача ээ'!$C$55</f>
        <v>256936.89</v>
      </c>
      <c r="D31" s="254">
        <f>'[1]передача ээ'!$V$55</f>
        <v>251615.5491779661</v>
      </c>
      <c r="E31" s="255">
        <f t="shared" si="2"/>
        <v>-5321.340822033904</v>
      </c>
      <c r="F31" s="297"/>
      <c r="G31" s="297"/>
      <c r="H31" s="297"/>
    </row>
    <row r="32" spans="1:8" ht="13.5">
      <c r="A32" s="298" t="s">
        <v>232</v>
      </c>
      <c r="B32" s="299" t="s">
        <v>233</v>
      </c>
      <c r="C32" s="300">
        <f>'[1]передача ээ'!$C$20</f>
        <v>178340.75</v>
      </c>
      <c r="D32" s="301">
        <f>'[1]передача ээ'!$V$20</f>
        <v>171110.38526999997</v>
      </c>
      <c r="E32" s="302">
        <f t="shared" si="2"/>
        <v>-7230.36473000003</v>
      </c>
      <c r="F32" s="297"/>
      <c r="G32" s="297"/>
      <c r="H32" s="297"/>
    </row>
    <row r="33" spans="1:8" s="276" customFormat="1" ht="14.25" thickBot="1">
      <c r="A33" s="303" t="s">
        <v>234</v>
      </c>
      <c r="B33" s="304" t="s">
        <v>235</v>
      </c>
      <c r="C33" s="305">
        <f>C31-C32-C24-C25</f>
        <v>1.8189894035458565E-11</v>
      </c>
      <c r="D33" s="306">
        <f>D31-D24-D25-D32</f>
        <v>-16286.699123830971</v>
      </c>
      <c r="E33" s="307">
        <f t="shared" si="2"/>
        <v>-16286.69912383099</v>
      </c>
      <c r="F33" s="308"/>
      <c r="G33" s="308"/>
      <c r="H33" s="286"/>
    </row>
    <row r="34" spans="1:8" ht="12.75">
      <c r="A34" s="872"/>
      <c r="B34" s="872"/>
      <c r="C34" s="292"/>
      <c r="D34" s="297"/>
      <c r="E34" s="292"/>
      <c r="F34" s="297"/>
      <c r="G34" s="297"/>
      <c r="H34" s="297"/>
    </row>
    <row r="35" spans="1:8" ht="12.75">
      <c r="A35" s="747"/>
      <c r="B35" s="747"/>
      <c r="C35" s="748"/>
      <c r="D35" s="747"/>
      <c r="E35" s="747"/>
      <c r="F35" s="297"/>
      <c r="G35" s="297"/>
      <c r="H35" s="297"/>
    </row>
    <row r="36" spans="1:8" ht="12.75">
      <c r="A36" s="873"/>
      <c r="B36" s="873"/>
      <c r="C36" s="873"/>
      <c r="D36" s="873"/>
      <c r="E36" s="873"/>
      <c r="F36" s="297"/>
      <c r="G36" s="297"/>
      <c r="H36" s="297"/>
    </row>
    <row r="37" spans="1:8" ht="12.75">
      <c r="A37" s="874"/>
      <c r="B37" s="874"/>
      <c r="C37" s="309"/>
      <c r="D37" s="309"/>
      <c r="E37" s="310"/>
      <c r="F37" s="297"/>
      <c r="G37" s="297"/>
      <c r="H37" s="297"/>
    </row>
    <row r="38" spans="1:5" ht="71.25" customHeight="1">
      <c r="A38" s="875"/>
      <c r="B38" s="875"/>
      <c r="C38" s="311"/>
      <c r="D38" s="311"/>
      <c r="E38" s="311"/>
    </row>
    <row r="39" spans="1:5" ht="12.75">
      <c r="A39" s="309"/>
      <c r="B39" s="309"/>
      <c r="C39" s="309"/>
      <c r="D39" s="309"/>
      <c r="E39" s="309"/>
    </row>
    <row r="40" spans="1:5" ht="13.5">
      <c r="A40" s="869"/>
      <c r="B40" s="869"/>
      <c r="C40" s="312"/>
      <c r="D40" s="312"/>
      <c r="E40" s="312"/>
    </row>
    <row r="41" spans="1:5" ht="12.75">
      <c r="A41" s="311"/>
      <c r="B41" s="870"/>
      <c r="C41" s="870"/>
      <c r="D41" s="870"/>
      <c r="E41" s="870"/>
    </row>
  </sheetData>
  <sheetProtection/>
  <mergeCells count="15">
    <mergeCell ref="A1:E1"/>
    <mergeCell ref="A2:E2"/>
    <mergeCell ref="A3:A6"/>
    <mergeCell ref="B3:B6"/>
    <mergeCell ref="C3:E3"/>
    <mergeCell ref="C4:C6"/>
    <mergeCell ref="D4:D6"/>
    <mergeCell ref="E4:E6"/>
    <mergeCell ref="A40:B40"/>
    <mergeCell ref="B41:E41"/>
    <mergeCell ref="F25:G25"/>
    <mergeCell ref="A34:B34"/>
    <mergeCell ref="A36:E36"/>
    <mergeCell ref="A37:B37"/>
    <mergeCell ref="A38:B38"/>
  </mergeCells>
  <printOptions horizontalCentered="1"/>
  <pageMargins left="0.4724409448818898" right="0.31496062992125984" top="0.35433070866141736" bottom="0.984251968503937" header="0.1968503937007874" footer="0.5118110236220472"/>
  <pageSetup fitToHeight="1" fitToWidth="1" horizontalDpi="1200" verticalDpi="1200" orientation="portrait" paperSize="9" r:id="rId1"/>
  <headerFooter alignWithMargins="0">
    <oddFooter>&amp;LМироненко М.С.&amp;R&amp;"Arial Cyr,курсив"&amp;6&lt;&amp;Z&amp;F&gt;
&amp;"Arial Cyr,обычный"&amp;8Лист:&amp;"Arial Cyr,полужирный"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E42"/>
  <sheetViews>
    <sheetView showGridLines="0" zoomScalePageLayoutView="0" workbookViewId="0" topLeftCell="A7">
      <selection activeCell="E18" sqref="E18"/>
    </sheetView>
  </sheetViews>
  <sheetFormatPr defaultColWidth="9.125" defaultRowHeight="12.75" outlineLevelCol="1"/>
  <cols>
    <col min="1" max="1" width="8.00390625" style="154" customWidth="1"/>
    <col min="2" max="2" width="44.50390625" style="154" customWidth="1"/>
    <col min="3" max="3" width="11.50390625" style="154" customWidth="1"/>
    <col min="4" max="4" width="11.50390625" style="154" hidden="1" customWidth="1" outlineLevel="1"/>
    <col min="5" max="5" width="13.375" style="154" customWidth="1" collapsed="1"/>
    <col min="6" max="16384" width="9.125" style="154" customWidth="1"/>
  </cols>
  <sheetData>
    <row r="1" ht="12.75">
      <c r="E1" s="157" t="s">
        <v>237</v>
      </c>
    </row>
    <row r="2" ht="12.75">
      <c r="E2" s="157"/>
    </row>
    <row r="3" ht="12.75">
      <c r="E3" s="157"/>
    </row>
    <row r="5" spans="1:5" ht="18">
      <c r="A5" s="894" t="s">
        <v>238</v>
      </c>
      <c r="B5" s="894"/>
      <c r="C5" s="894"/>
      <c r="D5" s="894"/>
      <c r="E5" s="894"/>
    </row>
    <row r="6" spans="1:5" ht="18">
      <c r="A6" s="894" t="s">
        <v>239</v>
      </c>
      <c r="B6" s="894"/>
      <c r="C6" s="894"/>
      <c r="D6" s="894"/>
      <c r="E6" s="894"/>
    </row>
    <row r="7" spans="1:5" ht="18.75" customHeight="1">
      <c r="A7" s="895" t="str">
        <f>'15 (ЭЭ)'!A4:E4</f>
        <v>ОАО "Электротехнический комплекс"</v>
      </c>
      <c r="B7" s="895"/>
      <c r="C7" s="895"/>
      <c r="D7" s="895"/>
      <c r="E7" s="895"/>
    </row>
    <row r="8" spans="2:5" ht="17.25">
      <c r="B8" s="156"/>
      <c r="C8" s="156"/>
      <c r="D8" s="156"/>
      <c r="E8" s="156"/>
    </row>
    <row r="9" ht="13.5" thickBot="1">
      <c r="E9" s="157" t="s">
        <v>240</v>
      </c>
    </row>
    <row r="10" spans="1:5" ht="12.75">
      <c r="A10" s="896" t="s">
        <v>89</v>
      </c>
      <c r="B10" s="898" t="s">
        <v>241</v>
      </c>
      <c r="C10" s="848" t="str">
        <f>'18.2'!C5:D5</f>
        <v>Отчетный период
2013 год</v>
      </c>
      <c r="D10" s="900" t="str">
        <f>'18.2'!E5</f>
        <v>Базовый период
2013 год</v>
      </c>
      <c r="E10" s="902" t="str">
        <f>'18.2'!G5</f>
        <v>Период регулирования
2015 год</v>
      </c>
    </row>
    <row r="11" spans="1:5" ht="12.75">
      <c r="A11" s="897"/>
      <c r="B11" s="899"/>
      <c r="C11" s="849"/>
      <c r="D11" s="901"/>
      <c r="E11" s="903"/>
    </row>
    <row r="12" spans="1:5" ht="12.75">
      <c r="A12" s="897"/>
      <c r="B12" s="899"/>
      <c r="C12" s="849"/>
      <c r="D12" s="901"/>
      <c r="E12" s="903"/>
    </row>
    <row r="13" spans="1:5" ht="12.75">
      <c r="A13" s="897"/>
      <c r="B13" s="899"/>
      <c r="C13" s="849"/>
      <c r="D13" s="901"/>
      <c r="E13" s="903"/>
    </row>
    <row r="14" spans="1:5" ht="12.75">
      <c r="A14" s="897"/>
      <c r="B14" s="899"/>
      <c r="C14" s="849"/>
      <c r="D14" s="901"/>
      <c r="E14" s="903"/>
    </row>
    <row r="15" spans="1:5" ht="13.5" thickBot="1">
      <c r="A15" s="313">
        <v>1</v>
      </c>
      <c r="B15" s="314">
        <v>2</v>
      </c>
      <c r="C15" s="315">
        <v>3</v>
      </c>
      <c r="D15" s="316">
        <v>4</v>
      </c>
      <c r="E15" s="317">
        <v>4</v>
      </c>
    </row>
    <row r="16" spans="1:5" ht="12.75">
      <c r="A16" s="318" t="s">
        <v>70</v>
      </c>
      <c r="B16" s="319" t="s">
        <v>242</v>
      </c>
      <c r="C16" s="320">
        <f>'20.3'!D13</f>
        <v>14392.163299999997</v>
      </c>
      <c r="D16" s="321">
        <f>D18</f>
        <v>10602.7</v>
      </c>
      <c r="E16" s="322">
        <f>E18</f>
        <v>28254.86084684478</v>
      </c>
    </row>
    <row r="17" spans="1:5" ht="12.75">
      <c r="A17" s="323"/>
      <c r="B17" s="324" t="s">
        <v>243</v>
      </c>
      <c r="C17" s="325"/>
      <c r="D17" s="326"/>
      <c r="E17" s="327"/>
    </row>
    <row r="18" spans="1:5" ht="12.75">
      <c r="A18" s="323"/>
      <c r="B18" s="328" t="s">
        <v>244</v>
      </c>
      <c r="C18" s="329">
        <f>C16</f>
        <v>14392.163299999997</v>
      </c>
      <c r="D18" s="330">
        <f>D22</f>
        <v>10602.7</v>
      </c>
      <c r="E18" s="331">
        <f>'20.3'!F13</f>
        <v>28254.86084684478</v>
      </c>
    </row>
    <row r="19" spans="1:5" ht="12.75">
      <c r="A19" s="323"/>
      <c r="B19" s="328" t="s">
        <v>245</v>
      </c>
      <c r="C19" s="329"/>
      <c r="D19" s="330"/>
      <c r="E19" s="331"/>
    </row>
    <row r="20" spans="1:5" ht="12.75">
      <c r="A20" s="323" t="s">
        <v>75</v>
      </c>
      <c r="B20" s="328" t="s">
        <v>246</v>
      </c>
      <c r="C20" s="329">
        <f>C22</f>
        <v>10603.69003</v>
      </c>
      <c r="D20" s="330">
        <f>D22</f>
        <v>10602.7</v>
      </c>
      <c r="E20" s="331">
        <f>E22</f>
        <v>12064.787502619065</v>
      </c>
    </row>
    <row r="21" spans="1:5" ht="12.75">
      <c r="A21" s="323"/>
      <c r="B21" s="328" t="s">
        <v>247</v>
      </c>
      <c r="C21" s="329"/>
      <c r="D21" s="330"/>
      <c r="E21" s="331"/>
    </row>
    <row r="22" spans="1:5" ht="26.25">
      <c r="A22" s="167" t="s">
        <v>248</v>
      </c>
      <c r="B22" s="332" t="s">
        <v>249</v>
      </c>
      <c r="C22" s="329">
        <f>'18.2'!C12</f>
        <v>10603.69003</v>
      </c>
      <c r="D22" s="330">
        <f>'18.2'!E12</f>
        <v>10602.7</v>
      </c>
      <c r="E22" s="331">
        <f>'18.2'!G12</f>
        <v>12064.787502619065</v>
      </c>
    </row>
    <row r="23" spans="1:5" ht="12.75">
      <c r="A23" s="323" t="s">
        <v>250</v>
      </c>
      <c r="B23" s="328" t="s">
        <v>251</v>
      </c>
      <c r="C23" s="329"/>
      <c r="D23" s="330"/>
      <c r="E23" s="331"/>
    </row>
    <row r="24" spans="1:5" ht="12.75">
      <c r="A24" s="323" t="s">
        <v>252</v>
      </c>
      <c r="B24" s="328" t="s">
        <v>253</v>
      </c>
      <c r="C24" s="329"/>
      <c r="D24" s="330"/>
      <c r="E24" s="331"/>
    </row>
    <row r="25" spans="1:5" ht="12.75">
      <c r="A25" s="323" t="s">
        <v>254</v>
      </c>
      <c r="B25" s="328" t="s">
        <v>255</v>
      </c>
      <c r="C25" s="329"/>
      <c r="D25" s="330"/>
      <c r="E25" s="331"/>
    </row>
    <row r="26" spans="1:5" ht="26.25">
      <c r="A26" s="323" t="s">
        <v>256</v>
      </c>
      <c r="B26" s="332" t="s">
        <v>257</v>
      </c>
      <c r="C26" s="329"/>
      <c r="D26" s="330"/>
      <c r="E26" s="331"/>
    </row>
    <row r="27" spans="1:5" ht="12.75">
      <c r="A27" s="323" t="s">
        <v>258</v>
      </c>
      <c r="B27" s="328" t="s">
        <v>259</v>
      </c>
      <c r="C27" s="329"/>
      <c r="D27" s="330"/>
      <c r="E27" s="331"/>
    </row>
    <row r="28" spans="1:5" ht="12.75">
      <c r="A28" s="323" t="s">
        <v>260</v>
      </c>
      <c r="B28" s="328" t="s">
        <v>261</v>
      </c>
      <c r="C28" s="329"/>
      <c r="D28" s="330"/>
      <c r="E28" s="331"/>
    </row>
    <row r="29" spans="1:5" ht="12.75">
      <c r="A29" s="323" t="s">
        <v>262</v>
      </c>
      <c r="B29" s="328" t="s">
        <v>263</v>
      </c>
      <c r="C29" s="329"/>
      <c r="D29" s="330"/>
      <c r="E29" s="331"/>
    </row>
    <row r="30" spans="1:5" ht="12.75">
      <c r="A30" s="323" t="s">
        <v>264</v>
      </c>
      <c r="B30" s="328" t="s">
        <v>265</v>
      </c>
      <c r="C30" s="329">
        <f>C22</f>
        <v>10603.69003</v>
      </c>
      <c r="D30" s="330">
        <f>D22</f>
        <v>10602.7</v>
      </c>
      <c r="E30" s="331">
        <f>E22</f>
        <v>12064.787502619065</v>
      </c>
    </row>
    <row r="31" spans="1:5" ht="12.75">
      <c r="A31" s="323" t="s">
        <v>266</v>
      </c>
      <c r="B31" s="328" t="s">
        <v>267</v>
      </c>
      <c r="C31" s="329">
        <f>C16-C30</f>
        <v>3788.473269999997</v>
      </c>
      <c r="D31" s="330">
        <f>D16-D30</f>
        <v>0</v>
      </c>
      <c r="E31" s="331">
        <f>E16-E30</f>
        <v>16190.073344225713</v>
      </c>
    </row>
    <row r="32" spans="1:5" ht="12.75">
      <c r="A32" s="323"/>
      <c r="B32" s="328" t="s">
        <v>268</v>
      </c>
      <c r="C32" s="329"/>
      <c r="D32" s="330"/>
      <c r="E32" s="331"/>
    </row>
    <row r="33" spans="1:5" ht="12.75">
      <c r="A33" s="323"/>
      <c r="B33" s="328" t="s">
        <v>269</v>
      </c>
      <c r="C33" s="329">
        <f>C31</f>
        <v>3788.473269999997</v>
      </c>
      <c r="D33" s="330">
        <f>D31</f>
        <v>0</v>
      </c>
      <c r="E33" s="331">
        <f>E31</f>
        <v>16190.073344225713</v>
      </c>
    </row>
    <row r="34" spans="1:5" ht="12.75">
      <c r="A34" s="323"/>
      <c r="B34" s="328" t="s">
        <v>270</v>
      </c>
      <c r="C34" s="333"/>
      <c r="D34" s="334"/>
      <c r="E34" s="335"/>
    </row>
    <row r="35" spans="1:5" ht="13.5" thickBot="1">
      <c r="A35" s="336"/>
      <c r="B35" s="337" t="s">
        <v>271</v>
      </c>
      <c r="C35" s="338"/>
      <c r="D35" s="339"/>
      <c r="E35" s="340"/>
    </row>
    <row r="38" spans="1:5" ht="18">
      <c r="A38" s="892" t="str">
        <f>'18.2'!A54</f>
        <v>Начальник ПЭО</v>
      </c>
      <c r="B38" s="892"/>
      <c r="C38" s="904" t="str">
        <f>'18.2'!E54</f>
        <v>М.С. Мироненко</v>
      </c>
      <c r="D38" s="904"/>
      <c r="E38" s="904"/>
    </row>
    <row r="40" spans="2:5" ht="13.5">
      <c r="B40" s="341"/>
      <c r="C40" s="341"/>
      <c r="D40" s="341"/>
      <c r="E40" s="341"/>
    </row>
    <row r="42" spans="2:5" ht="18">
      <c r="B42" s="893" t="s">
        <v>272</v>
      </c>
      <c r="C42" s="893"/>
      <c r="D42" s="893"/>
      <c r="E42" s="893"/>
    </row>
  </sheetData>
  <sheetProtection/>
  <mergeCells count="11">
    <mergeCell ref="A38:B38"/>
    <mergeCell ref="B42:E42"/>
    <mergeCell ref="A5:E5"/>
    <mergeCell ref="A6:E6"/>
    <mergeCell ref="A7:E7"/>
    <mergeCell ref="A10:A14"/>
    <mergeCell ref="B10:B14"/>
    <mergeCell ref="C10:C14"/>
    <mergeCell ref="D10:D14"/>
    <mergeCell ref="E10:E14"/>
    <mergeCell ref="C38:E38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30"/>
  <sheetViews>
    <sheetView showGridLines="0" view="pageBreakPreview" zoomScaleNormal="115" zoomScaleSheetLayoutView="100" zoomScalePageLayoutView="0" workbookViewId="0" topLeftCell="A7">
      <selection activeCell="F27" sqref="F27"/>
    </sheetView>
  </sheetViews>
  <sheetFormatPr defaultColWidth="8.00390625" defaultRowHeight="12.75"/>
  <cols>
    <col min="1" max="1" width="65.00390625" style="344" customWidth="1"/>
    <col min="2" max="2" width="12.125" style="344" customWidth="1"/>
    <col min="3" max="3" width="11.875" style="344" customWidth="1"/>
    <col min="4" max="4" width="11.00390625" style="344" customWidth="1"/>
    <col min="5" max="5" width="9.625" style="344" customWidth="1"/>
    <col min="6" max="6" width="13.50390625" style="344" customWidth="1"/>
    <col min="7" max="7" width="12.50390625" style="344" customWidth="1"/>
    <col min="8" max="16384" width="8.00390625" style="344" customWidth="1"/>
  </cols>
  <sheetData>
    <row r="1" spans="1:7" ht="12.75">
      <c r="A1" s="342"/>
      <c r="B1" s="342"/>
      <c r="C1" s="342"/>
      <c r="D1" s="343"/>
      <c r="E1" s="343"/>
      <c r="F1" s="907" t="s">
        <v>273</v>
      </c>
      <c r="G1" s="908"/>
    </row>
    <row r="2" spans="1:7" ht="12.75">
      <c r="A2" s="342"/>
      <c r="B2" s="342"/>
      <c r="C2" s="342"/>
      <c r="D2" s="345"/>
      <c r="E2" s="343"/>
      <c r="F2" s="343"/>
      <c r="G2" s="343"/>
    </row>
    <row r="3" spans="1:7" ht="54.75" customHeight="1">
      <c r="A3" s="909" t="s">
        <v>274</v>
      </c>
      <c r="B3" s="909"/>
      <c r="C3" s="909"/>
      <c r="D3" s="909"/>
      <c r="E3" s="909"/>
      <c r="F3" s="909"/>
      <c r="G3" s="909"/>
    </row>
    <row r="4" spans="1:7" ht="17.25">
      <c r="A4" s="910" t="str">
        <f>'20'!A7:E7</f>
        <v>ОАО "Электротехнический комплекс"</v>
      </c>
      <c r="B4" s="910"/>
      <c r="C4" s="910"/>
      <c r="D4" s="910"/>
      <c r="E4" s="910"/>
      <c r="F4" s="910"/>
      <c r="G4" s="910"/>
    </row>
    <row r="5" spans="1:7" ht="17.25">
      <c r="A5" s="911"/>
      <c r="B5" s="911"/>
      <c r="C5" s="911"/>
      <c r="D5" s="911"/>
      <c r="E5" s="343"/>
      <c r="F5" s="343"/>
      <c r="G5" s="343"/>
    </row>
    <row r="6" spans="1:7" ht="13.5" thickBot="1">
      <c r="A6" s="342"/>
      <c r="B6" s="342"/>
      <c r="C6" s="342"/>
      <c r="D6" s="343"/>
      <c r="E6" s="343"/>
      <c r="F6" s="343"/>
      <c r="G6" s="345" t="s">
        <v>240</v>
      </c>
    </row>
    <row r="7" spans="1:7" ht="12.75">
      <c r="A7" s="838" t="s">
        <v>275</v>
      </c>
      <c r="B7" s="848" t="s">
        <v>276</v>
      </c>
      <c r="C7" s="900" t="s">
        <v>277</v>
      </c>
      <c r="D7" s="900"/>
      <c r="E7" s="900" t="s">
        <v>278</v>
      </c>
      <c r="F7" s="900" t="s">
        <v>279</v>
      </c>
      <c r="G7" s="902" t="s">
        <v>280</v>
      </c>
    </row>
    <row r="8" spans="1:7" ht="12.75">
      <c r="A8" s="912"/>
      <c r="B8" s="849"/>
      <c r="C8" s="901"/>
      <c r="D8" s="901"/>
      <c r="E8" s="901"/>
      <c r="F8" s="901"/>
      <c r="G8" s="903"/>
    </row>
    <row r="9" spans="1:7" ht="12.75">
      <c r="A9" s="912"/>
      <c r="B9" s="849"/>
      <c r="C9" s="901"/>
      <c r="D9" s="901"/>
      <c r="E9" s="901"/>
      <c r="F9" s="901"/>
      <c r="G9" s="903"/>
    </row>
    <row r="10" spans="1:7" ht="12.75">
      <c r="A10" s="912"/>
      <c r="B10" s="849"/>
      <c r="C10" s="901" t="s">
        <v>281</v>
      </c>
      <c r="D10" s="901" t="s">
        <v>282</v>
      </c>
      <c r="E10" s="901"/>
      <c r="F10" s="901"/>
      <c r="G10" s="903"/>
    </row>
    <row r="11" spans="1:7" ht="12.75">
      <c r="A11" s="912"/>
      <c r="B11" s="849"/>
      <c r="C11" s="901"/>
      <c r="D11" s="901"/>
      <c r="E11" s="901"/>
      <c r="F11" s="901"/>
      <c r="G11" s="903"/>
    </row>
    <row r="12" spans="1:7" ht="13.5" thickBot="1">
      <c r="A12" s="346">
        <v>1</v>
      </c>
      <c r="B12" s="315">
        <v>2</v>
      </c>
      <c r="C12" s="316">
        <v>3</v>
      </c>
      <c r="D12" s="316">
        <v>4</v>
      </c>
      <c r="E12" s="347">
        <v>5</v>
      </c>
      <c r="F12" s="347">
        <v>6</v>
      </c>
      <c r="G12" s="348">
        <v>7</v>
      </c>
    </row>
    <row r="13" spans="1:7" ht="12.75">
      <c r="A13" s="349" t="s">
        <v>283</v>
      </c>
      <c r="B13" s="350">
        <v>0</v>
      </c>
      <c r="C13" s="351">
        <f>'[1]передача ээ'!$V$49</f>
        <v>14392.163299999998</v>
      </c>
      <c r="D13" s="351">
        <f>SUM(D15:D19)</f>
        <v>14392.163299999997</v>
      </c>
      <c r="E13" s="352">
        <f>C13-D13</f>
        <v>0</v>
      </c>
      <c r="F13" s="352">
        <f>SUM(F14:F27)</f>
        <v>28254.86084684478</v>
      </c>
      <c r="G13" s="353"/>
    </row>
    <row r="14" spans="1:7" ht="12.75">
      <c r="A14" s="354" t="s">
        <v>37</v>
      </c>
      <c r="B14" s="355"/>
      <c r="C14" s="326"/>
      <c r="D14" s="326"/>
      <c r="E14" s="356"/>
      <c r="F14" s="356"/>
      <c r="G14" s="357"/>
    </row>
    <row r="15" spans="1:7" ht="12.75">
      <c r="A15" s="358" t="str">
        <f>'[3]расходы'!$B$7</f>
        <v>Зарядно-выпрямительное устройство HTTP 40.110 XE</v>
      </c>
      <c r="B15" s="355"/>
      <c r="C15" s="326">
        <f>'[3]расходы'!$O$7/1000</f>
        <v>508.47456999999997</v>
      </c>
      <c r="D15" s="326">
        <f>C15</f>
        <v>508.47456999999997</v>
      </c>
      <c r="E15" s="356"/>
      <c r="F15" s="356"/>
      <c r="G15" s="357" t="s">
        <v>284</v>
      </c>
    </row>
    <row r="16" spans="1:7" ht="12.75">
      <c r="A16" s="358" t="str">
        <f>'[3]расходы'!$B$8</f>
        <v>Трансформатор тока</v>
      </c>
      <c r="B16" s="355"/>
      <c r="C16" s="326">
        <f>'[3]расходы'!$O$8/1000</f>
        <v>254.18481</v>
      </c>
      <c r="D16" s="326">
        <f>C16</f>
        <v>254.18481</v>
      </c>
      <c r="E16" s="356"/>
      <c r="F16" s="356"/>
      <c r="G16" s="357" t="s">
        <v>284</v>
      </c>
    </row>
    <row r="17" spans="1:7" ht="12.75">
      <c r="A17" s="358" t="str">
        <f>'[3]расходы'!$B$9</f>
        <v>Кондиционер Kentatsu RSGC53HFAN1</v>
      </c>
      <c r="B17" s="355"/>
      <c r="C17" s="326">
        <f>'[3]расходы'!$O$9/1000</f>
        <v>41.271190000000004</v>
      </c>
      <c r="D17" s="326">
        <f>C17</f>
        <v>41.271190000000004</v>
      </c>
      <c r="E17" s="356"/>
      <c r="F17" s="356"/>
      <c r="G17" s="357" t="s">
        <v>284</v>
      </c>
    </row>
    <row r="18" spans="1:7" ht="12.75">
      <c r="A18" s="358" t="str">
        <f>'[3]расходы'!$B$11</f>
        <v>Разъединитель</v>
      </c>
      <c r="B18" s="355"/>
      <c r="C18" s="326">
        <f>'[3]расходы'!$O$11/1000</f>
        <v>260</v>
      </c>
      <c r="D18" s="326">
        <f>C18</f>
        <v>260</v>
      </c>
      <c r="E18" s="356"/>
      <c r="F18" s="356"/>
      <c r="G18" s="357" t="s">
        <v>284</v>
      </c>
    </row>
    <row r="19" spans="1:7" ht="26.25">
      <c r="A19" s="358" t="str">
        <f>'[3]расходы'!$B$28</f>
        <v>Техперевооружение ОПУ ГПП-8 "Кислородная"</v>
      </c>
      <c r="B19" s="355"/>
      <c r="C19" s="326">
        <f>'[3]расходы'!$O$28/1000</f>
        <v>13328.232729999996</v>
      </c>
      <c r="D19" s="326">
        <f>C19</f>
        <v>13328.232729999996</v>
      </c>
      <c r="E19" s="356"/>
      <c r="F19" s="356"/>
      <c r="G19" s="357" t="s">
        <v>444</v>
      </c>
    </row>
    <row r="20" spans="1:7" ht="12.75">
      <c r="A20" s="359"/>
      <c r="B20" s="360"/>
      <c r="C20" s="361"/>
      <c r="D20" s="361"/>
      <c r="E20" s="362"/>
      <c r="F20" s="362"/>
      <c r="G20" s="363"/>
    </row>
    <row r="21" spans="1:7" ht="12.75">
      <c r="A21" s="359" t="s">
        <v>285</v>
      </c>
      <c r="B21" s="360"/>
      <c r="C21" s="361"/>
      <c r="D21" s="361"/>
      <c r="E21" s="362"/>
      <c r="F21" s="362">
        <v>100.84746</v>
      </c>
      <c r="G21" s="357" t="s">
        <v>442</v>
      </c>
    </row>
    <row r="22" spans="1:7" ht="12.75">
      <c r="A22" s="359" t="s">
        <v>439</v>
      </c>
      <c r="B22" s="360"/>
      <c r="C22" s="361"/>
      <c r="D22" s="361"/>
      <c r="E22" s="362"/>
      <c r="F22" s="362">
        <v>4305.72641</v>
      </c>
      <c r="G22" s="357" t="str">
        <f>G21</f>
        <v>Прибыль</v>
      </c>
    </row>
    <row r="23" spans="1:7" ht="12.75">
      <c r="A23" s="359" t="s">
        <v>440</v>
      </c>
      <c r="B23" s="360"/>
      <c r="C23" s="361"/>
      <c r="D23" s="361"/>
      <c r="E23" s="362"/>
      <c r="F23" s="362">
        <v>493.74446</v>
      </c>
      <c r="G23" s="357" t="str">
        <f>G22</f>
        <v>Прибыль</v>
      </c>
    </row>
    <row r="24" spans="1:7" ht="12.75">
      <c r="A24" s="359" t="s">
        <v>441</v>
      </c>
      <c r="B24" s="360"/>
      <c r="C24" s="361"/>
      <c r="D24" s="361"/>
      <c r="E24" s="362"/>
      <c r="F24" s="362">
        <v>525</v>
      </c>
      <c r="G24" s="357" t="str">
        <f>G23</f>
        <v>Прибыль</v>
      </c>
    </row>
    <row r="25" spans="1:7" ht="12.75">
      <c r="A25" s="359" t="s">
        <v>443</v>
      </c>
      <c r="B25" s="360"/>
      <c r="C25" s="361"/>
      <c r="D25" s="361"/>
      <c r="E25" s="362"/>
      <c r="F25" s="362">
        <v>4970</v>
      </c>
      <c r="G25" s="357" t="str">
        <f>G24</f>
        <v>Прибыль</v>
      </c>
    </row>
    <row r="26" spans="1:7" ht="12.75">
      <c r="A26" s="913" t="s">
        <v>445</v>
      </c>
      <c r="B26" s="360"/>
      <c r="C26" s="361"/>
      <c r="D26" s="361"/>
      <c r="E26" s="362"/>
      <c r="F26" s="362">
        <f>'[4]Ист.фин'!$BJ$14*1000</f>
        <v>7811.122516844781</v>
      </c>
      <c r="G26" s="363" t="str">
        <f>G25</f>
        <v>Прибыль</v>
      </c>
    </row>
    <row r="27" spans="1:7" ht="13.5" thickBot="1">
      <c r="A27" s="914"/>
      <c r="B27" s="364"/>
      <c r="C27" s="365"/>
      <c r="D27" s="365"/>
      <c r="E27" s="366"/>
      <c r="F27" s="366">
        <f>'[4]Ист.фин'!$BJ$20*1000</f>
        <v>10048.42</v>
      </c>
      <c r="G27" s="367" t="str">
        <f>G18</f>
        <v>Амортизация</v>
      </c>
    </row>
    <row r="28" ht="12.75">
      <c r="G28" s="368"/>
    </row>
    <row r="30" spans="1:7" ht="18">
      <c r="A30" s="905" t="str">
        <f>'20'!A38:B38</f>
        <v>Начальник ПЭО</v>
      </c>
      <c r="B30" s="905"/>
      <c r="C30" s="905"/>
      <c r="D30" s="906" t="str">
        <f>'20'!C38</f>
        <v>М.С. Мироненко</v>
      </c>
      <c r="E30" s="905"/>
      <c r="F30" s="905"/>
      <c r="G30" s="905"/>
    </row>
  </sheetData>
  <sheetProtection/>
  <mergeCells count="15">
    <mergeCell ref="C10:C11"/>
    <mergeCell ref="D10:D11"/>
    <mergeCell ref="A30:C30"/>
    <mergeCell ref="D30:G30"/>
    <mergeCell ref="F1:G1"/>
    <mergeCell ref="A3:G3"/>
    <mergeCell ref="A4:G4"/>
    <mergeCell ref="A5:D5"/>
    <mergeCell ref="A7:A11"/>
    <mergeCell ref="B7:B11"/>
    <mergeCell ref="C7:D9"/>
    <mergeCell ref="E7:E11"/>
    <mergeCell ref="F7:F11"/>
    <mergeCell ref="G7:G11"/>
    <mergeCell ref="A26:A27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</dc:creator>
  <cp:keywords/>
  <dc:description/>
  <cp:lastModifiedBy>Андрей</cp:lastModifiedBy>
  <cp:lastPrinted>2014-04-29T02:11:01Z</cp:lastPrinted>
  <dcterms:created xsi:type="dcterms:W3CDTF">2014-04-22T04:21:00Z</dcterms:created>
  <dcterms:modified xsi:type="dcterms:W3CDTF">2014-05-13T03:11:49Z</dcterms:modified>
  <cp:category/>
  <cp:version/>
  <cp:contentType/>
  <cp:contentStatus/>
</cp:coreProperties>
</file>